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showInkAnnotation="0"/>
  <mc:AlternateContent xmlns:mc="http://schemas.openxmlformats.org/markup-compatibility/2006">
    <mc:Choice Requires="x15">
      <x15ac:absPath xmlns:x15ac="http://schemas.microsoft.com/office/spreadsheetml/2010/11/ac" url="D:\INFORMES 2017\ESPIGAL\"/>
    </mc:Choice>
  </mc:AlternateContent>
  <bookViews>
    <workbookView xWindow="0" yWindow="0" windowWidth="20730" windowHeight="9510" tabRatio="663"/>
  </bookViews>
  <sheets>
    <sheet name="ESF" sheetId="1" r:id="rId1"/>
    <sheet name="EIR" sheetId="2" r:id="rId2"/>
    <sheet name="CARTERA" sheetId="5" r:id="rId3"/>
    <sheet name="CXC-CXP" sheetId="13" r:id="rId4"/>
    <sheet name="Ejecucion" sheetId="4" r:id="rId5"/>
    <sheet name="PPTO 2018" sheetId="16" r:id="rId6"/>
    <sheet name="Auxiliar gtos" sheetId="6" r:id="rId7"/>
    <sheet name="PPTO 2017" sheetId="14" state="hidden" r:id="rId8"/>
  </sheets>
  <definedNames>
    <definedName name="_xlnm._FilterDatabase" localSheetId="2" hidden="1">CARTERA!$A$5:$I$61</definedName>
    <definedName name="_xlnm._FilterDatabase" localSheetId="4" hidden="1">Ejecucion!$A$6:$I$34</definedName>
    <definedName name="_xlnm._FilterDatabase" localSheetId="7" hidden="1">'PPTO 2017'!$A$6:$J$34</definedName>
    <definedName name="_xlnm._FilterDatabase" localSheetId="5" hidden="1">'PPTO 2018'!$A$6:$I$34</definedName>
    <definedName name="_xlnm.Print_Area" localSheetId="6">'Auxiliar gtos'!$A$1:$E$135</definedName>
    <definedName name="_xlnm.Print_Area" localSheetId="2">CARTERA!$A$1:$I$64</definedName>
    <definedName name="_xlnm.Print_Area" localSheetId="3">'CXC-CXP'!$A$1:$C$18</definedName>
    <definedName name="_xlnm.Print_Area" localSheetId="1">EIR!$A$1:$C$76</definedName>
    <definedName name="_xlnm.Print_Area" localSheetId="4">Ejecucion!$C$1:$I$36</definedName>
    <definedName name="_xlnm.Print_Area" localSheetId="0">ESF!$A$1:$D$100</definedName>
    <definedName name="_xlnm.Print_Area" localSheetId="7">'PPTO 2017'!$C$1:$J$35</definedName>
    <definedName name="_xlnm.Print_Area" localSheetId="5">'PPTO 2018'!$C$1:$I$39</definedName>
    <definedName name="_xlnm.Print_Titles" localSheetId="6">'Auxiliar gtos'!$1:$2</definedName>
    <definedName name="_xlnm.Print_Titles" localSheetId="2">CARTERA!$1:$5</definedName>
    <definedName name="_xlnm.Print_Titles" localSheetId="1">EIR!$1:$5</definedName>
    <definedName name="_xlnm.Print_Titles" localSheetId="0">ESF!$1:$5</definedName>
  </definedNames>
  <calcPr calcId="162913"/>
</workbook>
</file>

<file path=xl/calcChain.xml><?xml version="1.0" encoding="utf-8"?>
<calcChain xmlns="http://schemas.openxmlformats.org/spreadsheetml/2006/main">
  <c r="C23" i="1" l="1"/>
  <c r="E37" i="16" l="1"/>
  <c r="D37" i="16"/>
  <c r="D36" i="16"/>
  <c r="D35" i="16"/>
  <c r="F33" i="16"/>
  <c r="D33" i="16"/>
  <c r="F30" i="16"/>
  <c r="G30" i="16" s="1"/>
  <c r="H30" i="16" s="1"/>
  <c r="F17" i="16"/>
  <c r="F15" i="16"/>
  <c r="F14" i="16"/>
  <c r="G14" i="16" s="1"/>
  <c r="H14" i="16" s="1"/>
  <c r="F13" i="16"/>
  <c r="G13" i="16" s="1"/>
  <c r="H13" i="16" s="1"/>
  <c r="F12" i="16"/>
  <c r="G12" i="16" s="1"/>
  <c r="H12" i="16" s="1"/>
  <c r="F10" i="16"/>
  <c r="G32" i="16"/>
  <c r="H32" i="16" s="1"/>
  <c r="G31" i="16"/>
  <c r="H31" i="16" s="1"/>
  <c r="G29" i="16"/>
  <c r="H29" i="16" s="1"/>
  <c r="G28" i="16"/>
  <c r="H28" i="16" s="1"/>
  <c r="G27" i="16"/>
  <c r="H27" i="16" s="1"/>
  <c r="G26" i="16"/>
  <c r="H26" i="16" s="1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16" s="1"/>
  <c r="G11" i="16"/>
  <c r="H11" i="16" s="1"/>
  <c r="G10" i="16"/>
  <c r="H10" i="16" s="1"/>
  <c r="G9" i="16"/>
  <c r="H9" i="16" s="1"/>
  <c r="G8" i="16"/>
  <c r="H8" i="16" s="1"/>
  <c r="F9" i="16"/>
  <c r="F8" i="16"/>
  <c r="F7" i="16"/>
  <c r="G7" i="16" s="1"/>
  <c r="H7" i="16" s="1"/>
  <c r="G33" i="16" l="1"/>
  <c r="H33" i="16" s="1"/>
  <c r="I33" i="16" l="1"/>
  <c r="E32" i="16"/>
  <c r="E31" i="16"/>
  <c r="E33" i="16" s="1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B47" i="1" l="1"/>
  <c r="B16" i="13" l="1"/>
  <c r="B13" i="2" l="1"/>
  <c r="B27" i="2"/>
  <c r="C132" i="6" l="1"/>
  <c r="C115" i="6"/>
  <c r="C81" i="6"/>
  <c r="C80" i="6"/>
  <c r="C79" i="6"/>
  <c r="C38" i="6"/>
  <c r="B56" i="2"/>
  <c r="B39" i="2"/>
  <c r="B19" i="2"/>
  <c r="B28" i="2"/>
  <c r="B23" i="1"/>
  <c r="D12" i="5" l="1"/>
  <c r="C78" i="6" l="1"/>
  <c r="C37" i="6"/>
  <c r="B57" i="2"/>
  <c r="E35" i="16" s="1"/>
  <c r="C16" i="2"/>
  <c r="B16" i="2"/>
  <c r="C62" i="5" l="1"/>
  <c r="C77" i="6" l="1"/>
  <c r="D123" i="6"/>
  <c r="D130" i="6"/>
  <c r="E130" i="6" s="1"/>
  <c r="C36" i="6"/>
  <c r="C35" i="6"/>
  <c r="C34" i="6"/>
  <c r="C106" i="6" l="1"/>
  <c r="C33" i="6" l="1"/>
  <c r="C32" i="6"/>
  <c r="C31" i="6"/>
  <c r="C29" i="6"/>
  <c r="C51" i="1" l="1"/>
  <c r="C72" i="6"/>
  <c r="C74" i="6"/>
  <c r="C73" i="6"/>
  <c r="C71" i="6"/>
  <c r="C70" i="6"/>
  <c r="C69" i="6" l="1"/>
  <c r="C68" i="6"/>
  <c r="C26" i="6"/>
  <c r="C66" i="6" l="1"/>
  <c r="C64" i="6"/>
  <c r="C63" i="6"/>
  <c r="C62" i="6"/>
  <c r="B22" i="1"/>
  <c r="C25" i="6" l="1"/>
  <c r="C93" i="6"/>
  <c r="C61" i="6"/>
  <c r="C24" i="6"/>
  <c r="D113" i="6" l="1"/>
  <c r="C60" i="6"/>
  <c r="C59" i="6"/>
  <c r="C23" i="6"/>
  <c r="C21" i="6"/>
  <c r="B51" i="1"/>
  <c r="I18" i="5" l="1"/>
  <c r="E7" i="4" l="1"/>
  <c r="C58" i="6" l="1"/>
  <c r="C57" i="6"/>
  <c r="C20" i="6"/>
  <c r="C19" i="6"/>
  <c r="C18" i="6"/>
  <c r="C17" i="6"/>
  <c r="B48" i="1"/>
  <c r="C63" i="1" l="1"/>
  <c r="C62" i="1" s="1"/>
  <c r="C100" i="6" l="1"/>
  <c r="C56" i="6"/>
  <c r="C55" i="6"/>
  <c r="C53" i="6"/>
  <c r="C52" i="6"/>
  <c r="C51" i="6"/>
  <c r="C50" i="6"/>
  <c r="C14" i="6"/>
  <c r="B45" i="1" l="1"/>
  <c r="C48" i="6" l="1"/>
  <c r="C47" i="6"/>
  <c r="C8" i="6"/>
  <c r="C12" i="6"/>
  <c r="C11" i="6"/>
  <c r="C10" i="6"/>
  <c r="C9" i="6"/>
  <c r="C7" i="6"/>
  <c r="C48" i="1" l="1"/>
  <c r="C45" i="1"/>
  <c r="C26" i="1" l="1"/>
  <c r="B26" i="1"/>
  <c r="C17" i="1"/>
  <c r="B17" i="1"/>
  <c r="C13" i="1"/>
  <c r="B13" i="1"/>
  <c r="C9" i="1"/>
  <c r="B9" i="1"/>
  <c r="C57" i="2"/>
  <c r="C59" i="2" s="1"/>
  <c r="C77" i="1" s="1"/>
  <c r="C78" i="1" s="1"/>
  <c r="C22" i="1"/>
  <c r="C28" i="1" l="1"/>
  <c r="B20" i="1"/>
  <c r="C20" i="1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B28" i="1"/>
  <c r="C45" i="6" l="1"/>
  <c r="D44" i="6" s="1"/>
  <c r="C6" i="6"/>
  <c r="E31" i="4"/>
  <c r="D8" i="4"/>
  <c r="G31" i="4" l="1"/>
  <c r="H31" i="4"/>
  <c r="B76" i="1"/>
  <c r="F32" i="14" l="1"/>
  <c r="G32" i="14" s="1"/>
  <c r="F8" i="14"/>
  <c r="G8" i="14" s="1"/>
  <c r="F9" i="14"/>
  <c r="G9" i="14" s="1"/>
  <c r="F10" i="14"/>
  <c r="G10" i="14" s="1"/>
  <c r="F11" i="14"/>
  <c r="G11" i="14" s="1"/>
  <c r="F12" i="14"/>
  <c r="G12" i="14" s="1"/>
  <c r="F13" i="14"/>
  <c r="G13" i="14" s="1"/>
  <c r="F14" i="14"/>
  <c r="G14" i="14" s="1"/>
  <c r="F15" i="14"/>
  <c r="G15" i="14" s="1"/>
  <c r="F16" i="14"/>
  <c r="G16" i="14" s="1"/>
  <c r="F17" i="14"/>
  <c r="G17" i="14" s="1"/>
  <c r="F18" i="14"/>
  <c r="G18" i="14" s="1"/>
  <c r="F19" i="14"/>
  <c r="G19" i="14" s="1"/>
  <c r="F20" i="14"/>
  <c r="G20" i="14" s="1"/>
  <c r="F21" i="14"/>
  <c r="G21" i="14" s="1"/>
  <c r="F22" i="14"/>
  <c r="G22" i="14" s="1"/>
  <c r="F23" i="14"/>
  <c r="G23" i="14" s="1"/>
  <c r="F24" i="14"/>
  <c r="G24" i="14" s="1"/>
  <c r="F25" i="14"/>
  <c r="G25" i="14" s="1"/>
  <c r="F26" i="14"/>
  <c r="G26" i="14" s="1"/>
  <c r="F27" i="14"/>
  <c r="G27" i="14" s="1"/>
  <c r="F28" i="14"/>
  <c r="G28" i="14" s="1"/>
  <c r="F29" i="14"/>
  <c r="G29" i="14" s="1"/>
  <c r="F30" i="14"/>
  <c r="G30" i="14" s="1"/>
  <c r="F31" i="14"/>
  <c r="G31" i="14" s="1"/>
  <c r="F7" i="14"/>
  <c r="G7" i="14" s="1"/>
  <c r="H9" i="14" l="1"/>
  <c r="G33" i="14" l="1"/>
  <c r="H27" i="14"/>
  <c r="I27" i="14" s="1"/>
  <c r="H14" i="14"/>
  <c r="I14" i="14" s="1"/>
  <c r="E33" i="14"/>
  <c r="H31" i="14"/>
  <c r="I31" i="14" s="1"/>
  <c r="H25" i="14"/>
  <c r="I25" i="14" s="1"/>
  <c r="H23" i="14"/>
  <c r="I23" i="14" s="1"/>
  <c r="H19" i="14"/>
  <c r="I19" i="14" s="1"/>
  <c r="H15" i="14"/>
  <c r="I15" i="14" s="1"/>
  <c r="J33" i="14"/>
  <c r="D33" i="14"/>
  <c r="D36" i="14" s="1"/>
  <c r="H32" i="14"/>
  <c r="I32" i="14" s="1"/>
  <c r="H30" i="14"/>
  <c r="I30" i="14" s="1"/>
  <c r="H29" i="14"/>
  <c r="I29" i="14" s="1"/>
  <c r="H28" i="14"/>
  <c r="I28" i="14" s="1"/>
  <c r="H26" i="14"/>
  <c r="I26" i="14" s="1"/>
  <c r="H24" i="14"/>
  <c r="I24" i="14" s="1"/>
  <c r="H22" i="14"/>
  <c r="I22" i="14" s="1"/>
  <c r="H21" i="14"/>
  <c r="I21" i="14" s="1"/>
  <c r="H20" i="14"/>
  <c r="I20" i="14" s="1"/>
  <c r="H18" i="14"/>
  <c r="I18" i="14" s="1"/>
  <c r="H17" i="14"/>
  <c r="I17" i="14" s="1"/>
  <c r="H16" i="14"/>
  <c r="I16" i="14" s="1"/>
  <c r="H13" i="14"/>
  <c r="I13" i="14" s="1"/>
  <c r="H12" i="14"/>
  <c r="I12" i="14" s="1"/>
  <c r="H11" i="14"/>
  <c r="I11" i="14" s="1"/>
  <c r="H10" i="14"/>
  <c r="I10" i="14" s="1"/>
  <c r="H8" i="14"/>
  <c r="I8" i="14" s="1"/>
  <c r="H7" i="14" l="1"/>
  <c r="F33" i="14"/>
  <c r="D37" i="14" s="1"/>
  <c r="D38" i="14" s="1"/>
  <c r="E38" i="14" s="1"/>
  <c r="I7" i="14" l="1"/>
  <c r="H33" i="14"/>
  <c r="I33" i="14" s="1"/>
  <c r="C34" i="1" l="1"/>
  <c r="C33" i="1"/>
  <c r="C31" i="1"/>
  <c r="C69" i="1" l="1"/>
  <c r="C71" i="1"/>
  <c r="C80" i="1" s="1"/>
  <c r="I6" i="5" l="1"/>
  <c r="I7" i="5"/>
  <c r="I8" i="5"/>
  <c r="I9" i="5"/>
  <c r="I10" i="5"/>
  <c r="I11" i="5"/>
  <c r="I12" i="5"/>
  <c r="I13" i="5"/>
  <c r="I14" i="5"/>
  <c r="I15" i="5"/>
  <c r="I16" i="5"/>
  <c r="I17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D62" i="5"/>
  <c r="F32" i="4"/>
  <c r="B63" i="1"/>
  <c r="B62" i="1" s="1"/>
  <c r="C35" i="1"/>
  <c r="C40" i="1" s="1"/>
  <c r="E113" i="6"/>
  <c r="B8" i="13"/>
  <c r="C8" i="13" s="1"/>
  <c r="C16" i="13"/>
  <c r="D33" i="4"/>
  <c r="E32" i="4"/>
  <c r="F7" i="4"/>
  <c r="D83" i="6"/>
  <c r="C49" i="5"/>
  <c r="D90" i="6"/>
  <c r="E90" i="6" s="1"/>
  <c r="H49" i="5"/>
  <c r="E8" i="4"/>
  <c r="E9" i="4"/>
  <c r="E10" i="4"/>
  <c r="E11" i="4"/>
  <c r="E12" i="4"/>
  <c r="H12" i="4" s="1"/>
  <c r="E13" i="4"/>
  <c r="E14" i="4"/>
  <c r="E15" i="4"/>
  <c r="E16" i="4"/>
  <c r="E17" i="4"/>
  <c r="E18" i="4"/>
  <c r="E19" i="4"/>
  <c r="E20" i="4"/>
  <c r="E21" i="4"/>
  <c r="E22" i="4"/>
  <c r="E23" i="4"/>
  <c r="G23" i="4" s="1"/>
  <c r="E24" i="4"/>
  <c r="E25" i="4"/>
  <c r="E26" i="4"/>
  <c r="E27" i="4"/>
  <c r="E28" i="4"/>
  <c r="H28" i="4" s="1"/>
  <c r="E29" i="4"/>
  <c r="E30" i="4"/>
  <c r="E49" i="5"/>
  <c r="B34" i="1"/>
  <c r="D97" i="6"/>
  <c r="D49" i="5"/>
  <c r="B33" i="1"/>
  <c r="G49" i="5"/>
  <c r="F49" i="5"/>
  <c r="E123" i="6"/>
  <c r="B31" i="1"/>
  <c r="I33" i="4"/>
  <c r="I49" i="5" l="1"/>
  <c r="J49" i="5" s="1"/>
  <c r="B35" i="1"/>
  <c r="B40" i="1" s="1"/>
  <c r="F33" i="4"/>
  <c r="G11" i="4"/>
  <c r="G8" i="4"/>
  <c r="G13" i="4"/>
  <c r="G29" i="4"/>
  <c r="G24" i="4"/>
  <c r="G28" i="4"/>
  <c r="H29" i="4"/>
  <c r="H13" i="4"/>
  <c r="H22" i="4"/>
  <c r="H18" i="4"/>
  <c r="E44" i="6"/>
  <c r="H14" i="4"/>
  <c r="C81" i="1"/>
  <c r="G25" i="4"/>
  <c r="H20" i="4"/>
  <c r="G16" i="4"/>
  <c r="G12" i="4"/>
  <c r="G9" i="4"/>
  <c r="G27" i="4"/>
  <c r="D4" i="6"/>
  <c r="E4" i="6" s="1"/>
  <c r="H7" i="4"/>
  <c r="G26" i="4"/>
  <c r="H21" i="4"/>
  <c r="G20" i="4"/>
  <c r="H17" i="4"/>
  <c r="G7" i="4"/>
  <c r="G21" i="4"/>
  <c r="E83" i="6"/>
  <c r="H15" i="4"/>
  <c r="E97" i="6"/>
  <c r="G19" i="4"/>
  <c r="H19" i="4"/>
  <c r="G32" i="4"/>
  <c r="G17" i="4"/>
  <c r="H9" i="4"/>
  <c r="H16" i="4"/>
  <c r="H25" i="4"/>
  <c r="G18" i="4"/>
  <c r="H27" i="4"/>
  <c r="H23" i="4"/>
  <c r="G15" i="4"/>
  <c r="H11" i="4"/>
  <c r="H8" i="4"/>
  <c r="H24" i="4"/>
  <c r="H30" i="4"/>
  <c r="G22" i="4"/>
  <c r="G14" i="4"/>
  <c r="E33" i="4"/>
  <c r="H32" i="4"/>
  <c r="G10" i="4"/>
  <c r="H26" i="4"/>
  <c r="G30" i="4"/>
  <c r="H10" i="4"/>
  <c r="B69" i="1" l="1"/>
  <c r="B71" i="1"/>
  <c r="F35" i="4"/>
  <c r="B59" i="2"/>
  <c r="D35" i="4"/>
  <c r="H33" i="4"/>
  <c r="G33" i="4"/>
  <c r="A59" i="2" l="1"/>
  <c r="B77" i="1"/>
  <c r="B78" i="1" s="1"/>
  <c r="B80" i="1" l="1"/>
  <c r="B81" i="1" s="1"/>
</calcChain>
</file>

<file path=xl/comments1.xml><?xml version="1.0" encoding="utf-8"?>
<comments xmlns="http://schemas.openxmlformats.org/spreadsheetml/2006/main">
  <authors>
    <author>Personal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Rendimientos CDt $2,037,230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Control puerta lote 3</t>
        </r>
      </text>
    </comment>
  </commentList>
</comments>
</file>

<file path=xl/sharedStrings.xml><?xml version="1.0" encoding="utf-8"?>
<sst xmlns="http://schemas.openxmlformats.org/spreadsheetml/2006/main" count="630" uniqueCount="407">
  <si>
    <t>ASOCIACION ACUEDUCTO EL ESPIGAL</t>
  </si>
  <si>
    <t>Octubre</t>
  </si>
  <si>
    <t>Septiembre</t>
  </si>
  <si>
    <t>ACTIVO</t>
  </si>
  <si>
    <t>ACTIVO CORRIENTE</t>
  </si>
  <si>
    <t>CAJAS MENORES</t>
  </si>
  <si>
    <t>CUENTA CORRIENTE BANCOLOMBIA</t>
  </si>
  <si>
    <t xml:space="preserve">FIDUCIA AHORRO </t>
  </si>
  <si>
    <t>FONDO REPOSICION EQUIPOS</t>
  </si>
  <si>
    <t>CDT</t>
  </si>
  <si>
    <t>CDT 4048183</t>
  </si>
  <si>
    <t>TOTAL ACTIVO CORRIENTE</t>
  </si>
  <si>
    <t>CONSIGNACIONES POR IDENTIFICAR</t>
  </si>
  <si>
    <t>CUENTAS POR COBRAR EMPLEADOS-OTROS</t>
  </si>
  <si>
    <t>PROVISION DEUDAS DIFICIL RECAUDO</t>
  </si>
  <si>
    <t>PROPIEDAD, PLANTA Y EQUIPO</t>
  </si>
  <si>
    <t>EQUIPO DE SOSTENIMIENTO</t>
  </si>
  <si>
    <t>EQUIPO DE COMPUTACION Y COMUNICACIÓN</t>
  </si>
  <si>
    <t>CAMARAS EN ACUEDUCTO</t>
  </si>
  <si>
    <t>DEPRECIACION</t>
  </si>
  <si>
    <t xml:space="preserve">TOTAL PROPIEDAD, PLANTA Y EQUIPO </t>
  </si>
  <si>
    <t>SEGUROS</t>
  </si>
  <si>
    <t>TOTAL ACTIVO</t>
  </si>
  <si>
    <t>PASIVO</t>
  </si>
  <si>
    <t>PASIVO CORRIENTE</t>
  </si>
  <si>
    <t>HONORARIOS CONTABLES - LINA GARCIA</t>
  </si>
  <si>
    <t>REVISORIA FISCAL</t>
  </si>
  <si>
    <t xml:space="preserve">OTRAS CUENTAS POR PAGAR </t>
  </si>
  <si>
    <t>RETENCION EN LA FUENTE POR PAGAR</t>
  </si>
  <si>
    <t>APORTES A SALUD</t>
  </si>
  <si>
    <t>APORTES A PENSION</t>
  </si>
  <si>
    <t>APORTES RIESGOS PROFESIONALES</t>
  </si>
  <si>
    <t>APORTES PARAFISCALES</t>
  </si>
  <si>
    <t>CUOTAS EXTRAS PROYECTO ACUEDUCTO</t>
  </si>
  <si>
    <t>ACCION COMUNAL</t>
  </si>
  <si>
    <t xml:space="preserve">SALDOS A FAVOR </t>
  </si>
  <si>
    <t>CESANTIAS</t>
  </si>
  <si>
    <t>PRIMA DE SERVICIOS</t>
  </si>
  <si>
    <t>INTERESES A LAS CESANTIAS</t>
  </si>
  <si>
    <t>VACACIONES</t>
  </si>
  <si>
    <t>TOTAL PASIVO CORRIENTE</t>
  </si>
  <si>
    <t>OTROS PASIVOS</t>
  </si>
  <si>
    <t>FONDO REPOSICION DE EQUIPOS</t>
  </si>
  <si>
    <t>TOTAL PASIVO</t>
  </si>
  <si>
    <t>PATRIMONIO</t>
  </si>
  <si>
    <t>TOTAL PATRIMONIO</t>
  </si>
  <si>
    <t>TOTAL PASIVO + PATRIMONIO</t>
  </si>
  <si>
    <t xml:space="preserve">                                                               </t>
  </si>
  <si>
    <t>LINA MARIA GARCIA BUILES</t>
  </si>
  <si>
    <t xml:space="preserve">Administradora                                                                            </t>
  </si>
  <si>
    <t>Contadora</t>
  </si>
  <si>
    <t>T.P Nro. 99702-T</t>
  </si>
  <si>
    <t>JUAN URIBE BOTERO</t>
  </si>
  <si>
    <t xml:space="preserve">Revisor Fiscal </t>
  </si>
  <si>
    <t>T.P. 3160-T</t>
  </si>
  <si>
    <t>AÑO 2016</t>
  </si>
  <si>
    <t>INGRESOS</t>
  </si>
  <si>
    <t>CARGO FIJO</t>
  </si>
  <si>
    <t>CONSUMO DE AGUA</t>
  </si>
  <si>
    <t>INTERESES MORA</t>
  </si>
  <si>
    <t>INTERESES BANCARIOS</t>
  </si>
  <si>
    <t>CARPA</t>
  </si>
  <si>
    <t>APROVECHAMIENTOS</t>
  </si>
  <si>
    <t>TOTAL INGRESOS</t>
  </si>
  <si>
    <t>GASTOS</t>
  </si>
  <si>
    <t>SUELDOS</t>
  </si>
  <si>
    <t>HORAS EXTRAS Y RECARGOS</t>
  </si>
  <si>
    <t>AUXILIO DE TRANSPORTE</t>
  </si>
  <si>
    <t>INTERESES SOBRE LAS CESANTIAS</t>
  </si>
  <si>
    <t>BONIFICACIONES - AGUINALDO EMPLEADOS</t>
  </si>
  <si>
    <t>DOTACION Y SUMINISTRO A TRABAJADORES</t>
  </si>
  <si>
    <t>APORTES A FONDOS DE PENSIONES, ARP Y EPS</t>
  </si>
  <si>
    <t>APORTES A CAJAS DE COMPENSACION</t>
  </si>
  <si>
    <t>APORTES AL ICBF</t>
  </si>
  <si>
    <t>APORTES AL SENA</t>
  </si>
  <si>
    <t>HONORARIOS ASESORIA CONTABLE</t>
  </si>
  <si>
    <t>MEDIOS MAGNETICOS</t>
  </si>
  <si>
    <t>SEGURO BIENES DE USO COMUN</t>
  </si>
  <si>
    <t>ACTUALIZACION Y SOPORTE SOFTWARE FACTURACION</t>
  </si>
  <si>
    <t>ENERGIA ELECTRICA</t>
  </si>
  <si>
    <t>CORREO, PORTES Y TELEGRAMAS</t>
  </si>
  <si>
    <t>TRANSPORTES, FLETES Y ACARREOS</t>
  </si>
  <si>
    <t>SERVICIOS DE ADMINISTRACION</t>
  </si>
  <si>
    <t>GASTOS LEGALES Y NOTARIALES</t>
  </si>
  <si>
    <t>MANTENIMIENTO CONSTRUCCIONES Y EDIFICACIONES</t>
  </si>
  <si>
    <t>MANTEN. MAQUINARIA - PLANTA DE TRATAMIENTO</t>
  </si>
  <si>
    <t>MANTENIMIENTO PRADOS Y JARDINES</t>
  </si>
  <si>
    <t>INSTALACIONES ELECTRICAS</t>
  </si>
  <si>
    <t>GASTOS ASAMBLEAS Y JUNTAS</t>
  </si>
  <si>
    <t>OBSEQUIO O DONACIONES POLICIA NACIONAL-NIÑOS U OTRAS</t>
  </si>
  <si>
    <t>ELEMENTOS DE ASEO</t>
  </si>
  <si>
    <t>UTILES, PAPELERIA Y FOTOCOPIAS</t>
  </si>
  <si>
    <t>DOTACIONES VARIAS PARA PORTERIA</t>
  </si>
  <si>
    <t>RECARGA DE EXTINTORES</t>
  </si>
  <si>
    <t>GASTOS BANCARIOS</t>
  </si>
  <si>
    <t>IMPREVISTOS</t>
  </si>
  <si>
    <t>TOTAL GASTOS</t>
  </si>
  <si>
    <t>Casa</t>
  </si>
  <si>
    <t>ASOCIADO</t>
  </si>
  <si>
    <t>Cargo fijo</t>
  </si>
  <si>
    <t>Acueducto</t>
  </si>
  <si>
    <t>Int Mora</t>
  </si>
  <si>
    <t>Ahorro</t>
  </si>
  <si>
    <t>Acción comunal</t>
  </si>
  <si>
    <t>TOTAL</t>
  </si>
  <si>
    <t>A01</t>
  </si>
  <si>
    <t>JORGE GUTIERREZ</t>
  </si>
  <si>
    <t>A03</t>
  </si>
  <si>
    <t>A04</t>
  </si>
  <si>
    <t>RAUL ALBERTO CORREA</t>
  </si>
  <si>
    <t>A05</t>
  </si>
  <si>
    <t>RAFAEL IGNACIO CORREA</t>
  </si>
  <si>
    <t>A06</t>
  </si>
  <si>
    <t>DANIEL GUTIERREZ HOYOS</t>
  </si>
  <si>
    <t>A07</t>
  </si>
  <si>
    <t>JORGE ALBERTO CADAVID</t>
  </si>
  <si>
    <t>A08</t>
  </si>
  <si>
    <t>ELIANA MARIA OCHOA VALENCIA</t>
  </si>
  <si>
    <t>A09</t>
  </si>
  <si>
    <t>JUAN  MARIO ESCORCIA</t>
  </si>
  <si>
    <t>A10</t>
  </si>
  <si>
    <t>ADRIANA MARIA GOMEZ URIBE</t>
  </si>
  <si>
    <t>A11</t>
  </si>
  <si>
    <t>CARLOS ALBERTO POSADA PUERTA</t>
  </si>
  <si>
    <t>A12</t>
  </si>
  <si>
    <t>LUIS FELIPE MESA ZAPATA</t>
  </si>
  <si>
    <t>A14</t>
  </si>
  <si>
    <t>MARIA ZULEMA GONZALEZ</t>
  </si>
  <si>
    <t>A15</t>
  </si>
  <si>
    <t>MARIA INES VELEZ</t>
  </si>
  <si>
    <t>A16</t>
  </si>
  <si>
    <t>DEBORA GOMEZ</t>
  </si>
  <si>
    <t>A17</t>
  </si>
  <si>
    <t>FRANCISCO ANTONIO GOMEZ</t>
  </si>
  <si>
    <t>A18</t>
  </si>
  <si>
    <t xml:space="preserve">LUIS ECHAVARRIA </t>
  </si>
  <si>
    <t>A19</t>
  </si>
  <si>
    <t>ANA LUCRECIA RAMIREZ</t>
  </si>
  <si>
    <t>A20</t>
  </si>
  <si>
    <t>SARA RAMIREZ</t>
  </si>
  <si>
    <t>A21</t>
  </si>
  <si>
    <t>HERNAN DARIO CANO</t>
  </si>
  <si>
    <t>A22</t>
  </si>
  <si>
    <t>CARLOS ALBERTO JARAMILLO</t>
  </si>
  <si>
    <t>A23</t>
  </si>
  <si>
    <t>HERNAN ZAPATA VANEGAS</t>
  </si>
  <si>
    <t>A24</t>
  </si>
  <si>
    <t>JUAN GUILLERMO GOMEZ CANO</t>
  </si>
  <si>
    <t>A25</t>
  </si>
  <si>
    <t>A26</t>
  </si>
  <si>
    <t>ISMAEL RESTREPO CORREA</t>
  </si>
  <si>
    <t>A27</t>
  </si>
  <si>
    <t>ALBERTO RESTREPO</t>
  </si>
  <si>
    <t>A28</t>
  </si>
  <si>
    <t>FRANCISCO JAVIER SALDARRIAGA</t>
  </si>
  <si>
    <t>A29</t>
  </si>
  <si>
    <t>RICARDO VALENCIA</t>
  </si>
  <si>
    <t>A30</t>
  </si>
  <si>
    <t>JAIME RESTREPO</t>
  </si>
  <si>
    <t>A32</t>
  </si>
  <si>
    <t>LUIS DARIO PARRA</t>
  </si>
  <si>
    <t>A33</t>
  </si>
  <si>
    <t>JUAN FERNANDO GOMEZ</t>
  </si>
  <si>
    <t>A34</t>
  </si>
  <si>
    <t>LUIS ALBERTO MARTINEZ</t>
  </si>
  <si>
    <t>A35</t>
  </si>
  <si>
    <t>SANTIAGO ANDRES RIOS OCAMPO</t>
  </si>
  <si>
    <t>A36</t>
  </si>
  <si>
    <t>JUAN FERNANDO ARANGO</t>
  </si>
  <si>
    <t>A37</t>
  </si>
  <si>
    <t>JUAN GONZALO GOMEZ ECHEVERRI</t>
  </si>
  <si>
    <t>A38</t>
  </si>
  <si>
    <t>EDGAR ALONSO BECERRA</t>
  </si>
  <si>
    <t>A39</t>
  </si>
  <si>
    <t>OSCAR PALACIO VELEZ</t>
  </si>
  <si>
    <t>A40</t>
  </si>
  <si>
    <t>JUAN CARLOS SANIN</t>
  </si>
  <si>
    <t>A41</t>
  </si>
  <si>
    <t>OSCAR ORLANDO PRADA</t>
  </si>
  <si>
    <t>A43</t>
  </si>
  <si>
    <t>RAUL ALBERTO GARNER</t>
  </si>
  <si>
    <t>A44</t>
  </si>
  <si>
    <t>JUAN CARLOS MARQUEZ</t>
  </si>
  <si>
    <t>A28-1</t>
  </si>
  <si>
    <t>JUAN ESTEBAN SALDARRIGA</t>
  </si>
  <si>
    <t>A23-1</t>
  </si>
  <si>
    <t>A31</t>
  </si>
  <si>
    <t>SOL BIBIANA OCHOA</t>
  </si>
  <si>
    <t>TOTALES</t>
  </si>
  <si>
    <t>VALOR</t>
  </si>
  <si>
    <t xml:space="preserve">CONTROL CXC - CXP </t>
  </si>
  <si>
    <t>CUENTAS POR COBRAR</t>
  </si>
  <si>
    <t>Total cuentas por cobrar</t>
  </si>
  <si>
    <t>CUENTAS POR PAGAR</t>
  </si>
  <si>
    <t>Total cuentas por pagar</t>
  </si>
  <si>
    <t>CONCEPTO</t>
  </si>
  <si>
    <t>PPTO AÑO 2016</t>
  </si>
  <si>
    <t>VARIACION</t>
  </si>
  <si>
    <t>OBSERVACIONES</t>
  </si>
  <si>
    <t>ano</t>
  </si>
  <si>
    <t>codigo</t>
  </si>
  <si>
    <t>Favorable</t>
  </si>
  <si>
    <t>Desfavorable</t>
  </si>
  <si>
    <t>SALARIOS Y DEMAS PAGOS LABORALES</t>
  </si>
  <si>
    <t>2004</t>
  </si>
  <si>
    <t>513505</t>
  </si>
  <si>
    <t>513520</t>
  </si>
  <si>
    <t xml:space="preserve">HONORARIOS ASESORIA JURIDICO </t>
  </si>
  <si>
    <t>513525</t>
  </si>
  <si>
    <t>513530</t>
  </si>
  <si>
    <t>513555</t>
  </si>
  <si>
    <t>514005</t>
  </si>
  <si>
    <t>514580</t>
  </si>
  <si>
    <t>515005</t>
  </si>
  <si>
    <t>MANTEN. CONSTRUCCIONES Y EDIFICACIONES</t>
  </si>
  <si>
    <t>51509501</t>
  </si>
  <si>
    <t>PRADOS Y JARDINES</t>
  </si>
  <si>
    <t>ARREGLOS NAVIDEÑOS PORTERIA</t>
  </si>
  <si>
    <t>519530</t>
  </si>
  <si>
    <t>51959501</t>
  </si>
  <si>
    <t>51959502</t>
  </si>
  <si>
    <t>53050501</t>
  </si>
  <si>
    <t>SUBTOTAL GASTOS</t>
  </si>
  <si>
    <t>PORCENTAJE DE EJECUCION DEL PPTO</t>
  </si>
  <si>
    <t>Enero</t>
  </si>
  <si>
    <t>Febrero</t>
  </si>
  <si>
    <t>Marzo</t>
  </si>
  <si>
    <t>Abril</t>
  </si>
  <si>
    <t>Mayo</t>
  </si>
  <si>
    <t>Julio</t>
  </si>
  <si>
    <t>Agosto</t>
  </si>
  <si>
    <t>MANTENIMIENTO MAQUINARIA Y EQUIPO - PLANTA DE TRATAMIENTO</t>
  </si>
  <si>
    <t>Junio</t>
  </si>
  <si>
    <t>Mantenimiento prados</t>
  </si>
  <si>
    <t xml:space="preserve">Saldo inicial </t>
  </si>
  <si>
    <t xml:space="preserve">Marzo </t>
  </si>
  <si>
    <t>Noviembre</t>
  </si>
  <si>
    <t>Diciembre</t>
  </si>
  <si>
    <t>Dian - doble pago rete fuente</t>
  </si>
  <si>
    <t>LUIS EDUARDO GOMEZ</t>
  </si>
  <si>
    <t>CASA</t>
  </si>
  <si>
    <t>TOTAL EJECUTADO A DICIEMBRE</t>
  </si>
  <si>
    <t>PRESUPUESTO 2017</t>
  </si>
  <si>
    <t>PPTO AÑO 2017</t>
  </si>
  <si>
    <t>VARIACION $</t>
  </si>
  <si>
    <t>VARIACION %</t>
  </si>
  <si>
    <t>Al valor ejecutado se le incrementa el 7%</t>
  </si>
  <si>
    <t>PRESUPUESTO 2016</t>
  </si>
  <si>
    <t>Al valor de la óliza del año 2016 $655,895, se le incrementa el 5,75% y se tiene en cuenta el IVA del 19%</t>
  </si>
  <si>
    <t>Al promedio de los 3 úlitmos meses se le incrementa 10%</t>
  </si>
  <si>
    <t>Al valor ejecutado se le incrementa el 6%</t>
  </si>
  <si>
    <t>Se presupuesta para cubrir los mantenimientos</t>
  </si>
  <si>
    <t>Se presupuesta para cubrir los gastos de dos asambleas</t>
  </si>
  <si>
    <t>CECILIA JARAMILLO JARAMILLO</t>
  </si>
  <si>
    <t>PPTO MENSUAL 2017</t>
  </si>
  <si>
    <t>IVA HONORARIOS REVISORIA FISCAL 19%</t>
  </si>
  <si>
    <t>RESERVA REPOSICION DE EQUIPOS</t>
  </si>
  <si>
    <t>RESERVA AHORRO</t>
  </si>
  <si>
    <t>AÑO 2017</t>
  </si>
  <si>
    <t>EJECUCION DE GASTOS AÑO 2017</t>
  </si>
  <si>
    <t>DETALLE DE GASTOS AÑO 2017</t>
  </si>
  <si>
    <t>PUERTA ESPIGAL 2</t>
  </si>
  <si>
    <t>2 candados</t>
  </si>
  <si>
    <t>Korasa,brocha,estuco</t>
  </si>
  <si>
    <t>Mano de obra instalacion, valvula, kit de materiales</t>
  </si>
  <si>
    <t>Archivador</t>
  </si>
  <si>
    <t>6 cajas organizadoras</t>
  </si>
  <si>
    <t>EFECTIVO Y EQUIVALENTES DE EFECTIVO</t>
  </si>
  <si>
    <t>EFECTIVO RESTRINGIDO</t>
  </si>
  <si>
    <t>INVERSIONES</t>
  </si>
  <si>
    <t>CUENTAS POR COBRAR COMERCIALES Y OTRAS CXC</t>
  </si>
  <si>
    <t>PROVISIONES</t>
  </si>
  <si>
    <t>TOTAL CUENTAS POR COBRAR COMERCIALES Y OTRAS CXC</t>
  </si>
  <si>
    <t>GASTOS PAGADOS POR ANTICIPADO</t>
  </si>
  <si>
    <t>CUENTAS POR COBRAR COMERCIALES Y OTRAS CXP</t>
  </si>
  <si>
    <t>PASIVOS POR IMPUESTOS CORRIENTES</t>
  </si>
  <si>
    <t>BENEFICIOS A EMPLEADOS POR PAGAR</t>
  </si>
  <si>
    <t>ESTADO DE SITUACION FINANCIERA COMPARATIVO</t>
  </si>
  <si>
    <t>Suministro y mano de obra impermeabilizacion tanque de agua</t>
  </si>
  <si>
    <t>ESTADO INTEGRAL DE RESULTADOS ACUMULADO</t>
  </si>
  <si>
    <t>Cajas organizadoras</t>
  </si>
  <si>
    <t>Sombrillas</t>
  </si>
  <si>
    <t>Piamigos y accesorios pvc</t>
  </si>
  <si>
    <t>Afirmado para via</t>
  </si>
  <si>
    <t>4 tableros para cocineta</t>
  </si>
  <si>
    <t>Koraza, brochas - paredes sede acueducto</t>
  </si>
  <si>
    <t>Cloro granular</t>
  </si>
  <si>
    <t>UTILIDAD ACUMULADA A DICIEMBRE 31 DE 2016</t>
  </si>
  <si>
    <t>Saldo a diciembre 31 de 2016</t>
  </si>
  <si>
    <t>Aporte mensual $129,000</t>
  </si>
  <si>
    <t xml:space="preserve">Reparacion y reposicion tablero electrico sede asociacion </t>
  </si>
  <si>
    <t>Instalacion mangueras navidad y materiales</t>
  </si>
  <si>
    <t>Reparacion y reposicion sistema electrico sede asociacion</t>
  </si>
  <si>
    <t>Espejos,dispensadores,cajas organizadoras</t>
  </si>
  <si>
    <t>Carpas</t>
  </si>
  <si>
    <t>Rejilla</t>
  </si>
  <si>
    <t>Estuco, tablero - entrepaño cocina</t>
  </si>
  <si>
    <t>Cartelera de aluminio para instalar plan manejo planta y medidores</t>
  </si>
  <si>
    <t>Bujes</t>
  </si>
  <si>
    <t xml:space="preserve">Pintura </t>
  </si>
  <si>
    <t>Alumbre granular</t>
  </si>
  <si>
    <t>Valvulas,flotador,sello mecanico,buje,universal,cheque,racores</t>
  </si>
  <si>
    <t>Mano de obra instalacion y puesta en marcha del sistema</t>
  </si>
  <si>
    <t>Cloro en pastillas</t>
  </si>
  <si>
    <t>Ofrenda floral</t>
  </si>
  <si>
    <t>Instalacion cortinas navideñas en porteria, arbol metalico,linea caseta</t>
  </si>
  <si>
    <t>Reparacion tuberia acueducto via espigal 3</t>
  </si>
  <si>
    <t>Devolucion gasto afirmado via - facturado a propietarios</t>
  </si>
  <si>
    <t>Instalacion acometidas - 2016</t>
  </si>
  <si>
    <t>RETENCION ICA POR PAGAR</t>
  </si>
  <si>
    <t>Reparacion puerta Espigal 1</t>
  </si>
  <si>
    <t>Lima triangular</t>
  </si>
  <si>
    <t>Pintura,anticorrosivo - para estructura carpas</t>
  </si>
  <si>
    <t>Espejo convavo</t>
  </si>
  <si>
    <t>Cloro granular, kit piscina</t>
  </si>
  <si>
    <t>Predial 2017</t>
  </si>
  <si>
    <t>PRESTAMO COMFAMA</t>
  </si>
  <si>
    <t>Cloro</t>
  </si>
  <si>
    <t>Profilan, tornillos,tuercas,brocha,anticorrosivo,pintura gris - puerta espigal 1</t>
  </si>
  <si>
    <t>Desmonte contador y mantenimiento filtros en la via</t>
  </si>
  <si>
    <t>Reparacion 2 contenedores de basura</t>
  </si>
  <si>
    <t>Tablero de alternacion y simultaneidad para motobombas</t>
  </si>
  <si>
    <t>Valvulas,cheques,resorte,kits de materiales,flotador electrico,manguera,M.O.</t>
  </si>
  <si>
    <t>Rastrillo metalico y rastrillo plastico</t>
  </si>
  <si>
    <t>Suministro e instalacion de reflector led en caseta administrativa</t>
  </si>
  <si>
    <t>Estanteria para carpas</t>
  </si>
  <si>
    <t>Capacitores para motor,centrifugado para motor</t>
  </si>
  <si>
    <t>Diafragma y cheque para bomba dosificadora</t>
  </si>
  <si>
    <t>Mantenimiento prados abril a julio</t>
  </si>
  <si>
    <t>Ajuste Jorge Ivan Loaiza</t>
  </si>
  <si>
    <t>FRANCISCO GOMEZ</t>
  </si>
  <si>
    <t>Reparacion CCTV</t>
  </si>
  <si>
    <t>Limpieza y evacuacion pozo septico casa 3</t>
  </si>
  <si>
    <t>Tanque de hidroflo con manometro,manguera,niple,teflon</t>
  </si>
  <si>
    <t>Rete fuente rendimientos CDT</t>
  </si>
  <si>
    <t>Botiquin primeros auxilios</t>
  </si>
  <si>
    <t>Universal, llave, macho</t>
  </si>
  <si>
    <t>Hojas lija</t>
  </si>
  <si>
    <t>Uniones y codos</t>
  </si>
  <si>
    <t>Cartelera para publicar politicas SST</t>
  </si>
  <si>
    <t>Imanes para cada casa - P.M.I.R.S</t>
  </si>
  <si>
    <t>Linterna, guantes, candado</t>
  </si>
  <si>
    <t>2 contenedores - almacenamiento residuos solidos</t>
  </si>
  <si>
    <t>Ortotodilina</t>
  </si>
  <si>
    <t>Analisis de agua agosto</t>
  </si>
  <si>
    <t>Motobomba centrifugada, valvula,juego bridas,tuberia en hierro,universal</t>
  </si>
  <si>
    <t>Codo en acero inoxidable,carretas teflon,mano de obra</t>
  </si>
  <si>
    <t>Analisis de agua septiembre</t>
  </si>
  <si>
    <t>Motobomba dosificadora de cloro digital,flotador electrico, mano de obra</t>
  </si>
  <si>
    <t>Desarrollo Sistema de salud y seguridad en el trabajo</t>
  </si>
  <si>
    <t>Realizacion historias clinicas ocupacional empleados</t>
  </si>
  <si>
    <t>Realizacion Plan manejo de residuos solidos</t>
  </si>
  <si>
    <t>Analisis de agua abril</t>
  </si>
  <si>
    <t>Analisis de agua mayo</t>
  </si>
  <si>
    <t xml:space="preserve">Analisis de aguas </t>
  </si>
  <si>
    <t>Analisis de agua julio</t>
  </si>
  <si>
    <t>Analisis de aguas junio</t>
  </si>
  <si>
    <t>Analisis agua marzo</t>
  </si>
  <si>
    <t>Analisis de aguas febrero</t>
  </si>
  <si>
    <t>SISTECREDITO S.A.S.</t>
  </si>
  <si>
    <t>SALARIOS</t>
  </si>
  <si>
    <t>Gravilla para vias</t>
  </si>
  <si>
    <t>Mantenimiento CCTV</t>
  </si>
  <si>
    <t>Controles puerta, ajuste de clave</t>
  </si>
  <si>
    <t>Mantenimiento PTAR</t>
  </si>
  <si>
    <t>Saldo a septiembre 30 de 2017</t>
  </si>
  <si>
    <t>Aporte mensual $301,000</t>
  </si>
  <si>
    <t>Aseo y succión pozo septico casas 4-21-41-9-10-17-50-40</t>
  </si>
  <si>
    <t>Aseo y succión pozo septico casas 15-23A-16-20-22-18-3-41-43-28-28A</t>
  </si>
  <si>
    <t>INVERSIONES ORIZA S.A.S.</t>
  </si>
  <si>
    <t>REINTEGRO COSTOS Y GASTOS</t>
  </si>
  <si>
    <t>Avisos, canecas, marcacion</t>
  </si>
  <si>
    <t>Analisis de agua octubre</t>
  </si>
  <si>
    <t>Analisis de agua noviembre</t>
  </si>
  <si>
    <t>A DICIEMBRE DE:</t>
  </si>
  <si>
    <t>JUAN MARIO ESCORCIA</t>
  </si>
  <si>
    <t>LUIS FELIPE MESA</t>
  </si>
  <si>
    <t>ENERO 1 A DICIEMBRE 31 DE:</t>
  </si>
  <si>
    <t>PPTO A DICIEMBRE 2017</t>
  </si>
  <si>
    <t>Horno microondas</t>
  </si>
  <si>
    <t>Reemplazo contador casa 22</t>
  </si>
  <si>
    <t>Reparacion fuga contador casa 23</t>
  </si>
  <si>
    <t>Copia llaves</t>
  </si>
  <si>
    <t>Servicio tecnico bomba dosificadora,pastillas cloro</t>
  </si>
  <si>
    <t>Cloro granular, piedra lumbre</t>
  </si>
  <si>
    <t>Rojo fenol, ortotodilna</t>
  </si>
  <si>
    <t>Mantenimiento prados septiembre a diciembre</t>
  </si>
  <si>
    <t>Aseo y succión pozo septico casas 57-39</t>
  </si>
  <si>
    <t>DOTAMOS - Dotacion diciembre</t>
  </si>
  <si>
    <t>Plan manejo residuos,Sistema de salud y seguridad en el trabajo</t>
  </si>
  <si>
    <t>Motobomba centrifugada,motobomba dosificadora,tanque de hidroflo con manometro</t>
  </si>
  <si>
    <t>Contenedores almacenamiento residuos solidos,estanteria para carpas</t>
  </si>
  <si>
    <t>Reparacion contador acueducto</t>
  </si>
  <si>
    <t>MONICA RUA - Analisis de aguas diciembre</t>
  </si>
  <si>
    <t>PPTO 2017</t>
  </si>
  <si>
    <t>EJECUTADO 2017</t>
  </si>
  <si>
    <t>PPTO 2018</t>
  </si>
  <si>
    <t>PROYECTO DE PRESUPUESTO AÑO 2018</t>
  </si>
  <si>
    <t>El gasto del 2017 de tableros electricos se espera que no se repita en 2018</t>
  </si>
  <si>
    <t>PRESUPUESTO AÑO 2017</t>
  </si>
  <si>
    <t>PRESUPUESTO AÑO 2018</t>
  </si>
  <si>
    <t>Pendiente como es el manejo legal en 2018</t>
  </si>
  <si>
    <t>RESULTADO DEL EJERCICIO</t>
  </si>
  <si>
    <t>RESULTADOS ACUMULADOS</t>
  </si>
  <si>
    <t>CARTERA DE ASOCIADOS A DICIEMBRE 31 DE 2017</t>
  </si>
  <si>
    <t>SALDOS A  FAVOR ASOCIADOS A DICIEMBRE 31 DE 2017</t>
  </si>
  <si>
    <t>CARGO FIJO, CONSUMO Y 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</si>
</sst>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 * #,##0.00_ ;_ * \-#,##0.00_ ;_ * &quot;-&quot;??_ ;_ @_ "/>
    <numFmt numFmtId="167" formatCode="_(* #,##0_);_(* \(#,##0\);_(* &quot;-&quot;??_);_(@_)"/>
    <numFmt numFmtId="168" formatCode="_(* #,##0.00_);_(* \(#,##0.00\);_(* &quot;-&quot;_);_(@_)"/>
    <numFmt numFmtId="169" formatCode="_-* #,##0.00_-;\-* #,##0.00_-;_-* &quot;-&quot;_-;_-@_-"/>
    <numFmt numFmtId="170" formatCode="_(* #,##0.000_);_(* \(#,##0.000\);_(* &quot;-&quot;_);_(@_)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Unicode MS"/>
      <family val="2"/>
    </font>
    <font>
      <sz val="12"/>
      <name val="@Arial Unicode MS"/>
      <family val="2"/>
    </font>
    <font>
      <sz val="12"/>
      <name val="Arial"/>
      <family val="2"/>
    </font>
    <font>
      <sz val="12"/>
      <name val="Arial Unicode MS"/>
      <family val="2"/>
    </font>
    <font>
      <u/>
      <sz val="12"/>
      <name val="Arial Unicode MS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 Unicode MS"/>
      <family val="2"/>
    </font>
    <font>
      <sz val="9"/>
      <name val="Arial Unicode MS"/>
      <family val="2"/>
    </font>
    <font>
      <sz val="12"/>
      <name val="@Arial Unicode MS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2"/>
      <name val="Arial Unicode M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Unicode MS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color indexed="8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sz val="12"/>
      <name val="Arial Unicode MS"/>
      <family val="2"/>
    </font>
    <font>
      <sz val="10"/>
      <name val="Arial Unicode MS"/>
      <family val="2"/>
    </font>
    <font>
      <sz val="10"/>
      <name val="Arial"/>
      <family val="2"/>
    </font>
    <font>
      <b/>
      <sz val="10"/>
      <name val="Arial Unicode MS"/>
      <family val="2"/>
    </font>
    <font>
      <b/>
      <sz val="10"/>
      <name val="Tahoma"/>
      <family val="2"/>
    </font>
    <font>
      <sz val="12"/>
      <name val="Tahoma"/>
      <family val="2"/>
    </font>
    <font>
      <b/>
      <sz val="12"/>
      <name val="@Arial Unicode MS"/>
      <family val="2"/>
    </font>
    <font>
      <sz val="12"/>
      <name val="@Arial Unicode MS"/>
      <family val="2"/>
    </font>
    <font>
      <b/>
      <sz val="12"/>
      <name val="Arial Unicode MS"/>
      <family val="2"/>
    </font>
    <font>
      <b/>
      <sz val="13"/>
      <name val="@Arial Unicode MS"/>
      <family val="2"/>
    </font>
    <font>
      <sz val="12"/>
      <name val="Arial"/>
      <family val="2"/>
    </font>
    <font>
      <b/>
      <sz val="12"/>
      <name val="@Arial Unicode MS"/>
    </font>
    <font>
      <sz val="12"/>
      <name val="@Arial Unicode MS"/>
    </font>
    <font>
      <sz val="12"/>
      <name val="Arial Unicode MS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indexed="64"/>
      </top>
      <bottom/>
      <diagonal/>
    </border>
  </borders>
  <cellStyleXfs count="62">
    <xf numFmtId="0" fontId="0" fillId="0" borderId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27" fillId="0" borderId="0"/>
    <xf numFmtId="0" fontId="16" fillId="12" borderId="5" applyNumberFormat="0" applyFont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0" fillId="0" borderId="6" applyNumberFormat="0" applyFill="0" applyAlignment="0" applyProtection="0"/>
    <xf numFmtId="43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35" fillId="14" borderId="9" applyNumberFormat="0" applyAlignment="0" applyProtection="0"/>
    <xf numFmtId="0" fontId="36" fillId="15" borderId="10" applyNumberFormat="0" applyAlignment="0" applyProtection="0"/>
    <xf numFmtId="0" fontId="37" fillId="15" borderId="9" applyNumberFormat="0" applyAlignment="0" applyProtection="0"/>
    <xf numFmtId="0" fontId="38" fillId="0" borderId="11" applyNumberFormat="0" applyFill="0" applyAlignment="0" applyProtection="0"/>
    <xf numFmtId="0" fontId="39" fillId="16" borderId="12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8" fillId="17" borderId="0" applyNumberFormat="0" applyBorder="0" applyAlignment="0" applyProtection="0"/>
    <xf numFmtId="0" fontId="1" fillId="18" borderId="0" applyNumberFormat="0" applyBorder="0" applyAlignment="0" applyProtection="0"/>
    <xf numFmtId="0" fontId="28" fillId="20" borderId="0" applyNumberFormat="0" applyBorder="0" applyAlignment="0" applyProtection="0"/>
    <xf numFmtId="0" fontId="1" fillId="21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25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9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181">
    <xf numFmtId="0" fontId="0" fillId="0" borderId="0" xfId="0"/>
    <xf numFmtId="165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7" fontId="4" fillId="0" borderId="0" xfId="0" applyNumberFormat="1" applyFont="1" applyBorder="1"/>
    <xf numFmtId="167" fontId="4" fillId="0" borderId="0" xfId="0" applyNumberFormat="1" applyFont="1"/>
    <xf numFmtId="0" fontId="5" fillId="0" borderId="0" xfId="0" applyFont="1"/>
    <xf numFmtId="167" fontId="4" fillId="0" borderId="2" xfId="0" applyNumberFormat="1" applyFont="1" applyBorder="1"/>
    <xf numFmtId="0" fontId="6" fillId="0" borderId="0" xfId="0" applyFont="1"/>
    <xf numFmtId="0" fontId="6" fillId="0" borderId="0" xfId="0" applyFont="1" applyBorder="1"/>
    <xf numFmtId="0" fontId="6" fillId="0" borderId="2" xfId="0" applyFont="1" applyBorder="1"/>
    <xf numFmtId="0" fontId="3" fillId="0" borderId="3" xfId="0" applyFont="1" applyBorder="1"/>
    <xf numFmtId="41" fontId="6" fillId="0" borderId="3" xfId="0" applyNumberFormat="1" applyFont="1" applyBorder="1"/>
    <xf numFmtId="41" fontId="6" fillId="0" borderId="0" xfId="0" applyNumberFormat="1" applyFont="1"/>
    <xf numFmtId="41" fontId="6" fillId="0" borderId="0" xfId="9" applyNumberFormat="1" applyFont="1"/>
    <xf numFmtId="0" fontId="6" fillId="0" borderId="0" xfId="0" applyFont="1" applyFill="1" applyBorder="1"/>
    <xf numFmtId="0" fontId="3" fillId="0" borderId="2" xfId="0" applyFont="1" applyFill="1" applyBorder="1"/>
    <xf numFmtId="41" fontId="3" fillId="0" borderId="2" xfId="0" applyNumberFormat="1" applyFont="1" applyBorder="1"/>
    <xf numFmtId="41" fontId="6" fillId="0" borderId="2" xfId="0" applyNumberFormat="1" applyFont="1" applyBorder="1"/>
    <xf numFmtId="0" fontId="5" fillId="0" borderId="3" xfId="0" applyFont="1" applyBorder="1"/>
    <xf numFmtId="0" fontId="7" fillId="0" borderId="0" xfId="0" applyFont="1" applyBorder="1"/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4" fontId="6" fillId="0" borderId="0" xfId="0" applyNumberFormat="1" applyFont="1"/>
    <xf numFmtId="164" fontId="6" fillId="0" borderId="0" xfId="0" applyNumberFormat="1" applyFont="1" applyFill="1"/>
    <xf numFmtId="164" fontId="6" fillId="0" borderId="2" xfId="0" applyNumberFormat="1" applyFont="1" applyBorder="1"/>
    <xf numFmtId="164" fontId="3" fillId="0" borderId="0" xfId="0" applyNumberFormat="1" applyFont="1" applyFill="1" applyBorder="1"/>
    <xf numFmtId="164" fontId="3" fillId="0" borderId="0" xfId="0" applyNumberFormat="1" applyFont="1"/>
    <xf numFmtId="164" fontId="5" fillId="0" borderId="0" xfId="0" applyNumberFormat="1" applyFont="1"/>
    <xf numFmtId="164" fontId="3" fillId="0" borderId="0" xfId="13" applyNumberFormat="1" applyFont="1"/>
    <xf numFmtId="164" fontId="3" fillId="0" borderId="0" xfId="0" applyNumberFormat="1" applyFont="1" applyFill="1"/>
    <xf numFmtId="165" fontId="6" fillId="0" borderId="0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/>
    <xf numFmtId="168" fontId="6" fillId="0" borderId="0" xfId="0" applyNumberFormat="1" applyFont="1" applyFill="1"/>
    <xf numFmtId="165" fontId="6" fillId="0" borderId="0" xfId="0" applyNumberFormat="1" applyFont="1" applyFill="1"/>
    <xf numFmtId="0" fontId="6" fillId="0" borderId="0" xfId="0" applyFont="1" applyFill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wrapText="1"/>
    </xf>
    <xf numFmtId="0" fontId="10" fillId="0" borderId="0" xfId="0" applyFont="1"/>
    <xf numFmtId="164" fontId="11" fillId="0" borderId="3" xfId="0" applyNumberFormat="1" applyFont="1" applyBorder="1"/>
    <xf numFmtId="0" fontId="13" fillId="0" borderId="0" xfId="0" applyFont="1" applyFill="1"/>
    <xf numFmtId="0" fontId="13" fillId="0" borderId="0" xfId="0" applyFont="1"/>
    <xf numFmtId="167" fontId="6" fillId="0" borderId="2" xfId="0" applyNumberFormat="1" applyFont="1" applyBorder="1"/>
    <xf numFmtId="0" fontId="6" fillId="0" borderId="0" xfId="0" applyFont="1" applyAlignment="1"/>
    <xf numFmtId="164" fontId="14" fillId="0" borderId="2" xfId="9" applyNumberFormat="1" applyFont="1" applyBorder="1" applyAlignment="1">
      <alignment horizontal="center"/>
    </xf>
    <xf numFmtId="164" fontId="12" fillId="0" borderId="2" xfId="9" applyNumberFormat="1" applyFont="1" applyBorder="1" applyAlignment="1">
      <alignment horizontal="center"/>
    </xf>
    <xf numFmtId="164" fontId="3" fillId="0" borderId="2" xfId="9" applyNumberFormat="1" applyFont="1" applyBorder="1" applyAlignment="1">
      <alignment horizontal="center"/>
    </xf>
    <xf numFmtId="164" fontId="13" fillId="0" borderId="0" xfId="9" applyNumberFormat="1" applyFont="1"/>
    <xf numFmtId="164" fontId="13" fillId="0" borderId="2" xfId="9" applyNumberFormat="1" applyFont="1" applyBorder="1"/>
    <xf numFmtId="164" fontId="14" fillId="0" borderId="0" xfId="9" applyNumberFormat="1" applyFont="1"/>
    <xf numFmtId="164" fontId="15" fillId="0" borderId="0" xfId="9" applyNumberFormat="1" applyFont="1"/>
    <xf numFmtId="164" fontId="6" fillId="0" borderId="0" xfId="9" applyNumberFormat="1" applyFont="1"/>
    <xf numFmtId="3" fontId="5" fillId="0" borderId="0" xfId="0" applyNumberFormat="1" applyFont="1"/>
    <xf numFmtId="0" fontId="17" fillId="0" borderId="0" xfId="0" applyFont="1"/>
    <xf numFmtId="41" fontId="6" fillId="0" borderId="0" xfId="9" applyNumberFormat="1" applyFont="1" applyFill="1"/>
    <xf numFmtId="41" fontId="6" fillId="0" borderId="2" xfId="9" applyNumberFormat="1" applyFont="1" applyFill="1" applyBorder="1"/>
    <xf numFmtId="164" fontId="13" fillId="0" borderId="0" xfId="9" applyNumberFormat="1" applyFont="1" applyFill="1"/>
    <xf numFmtId="164" fontId="13" fillId="0" borderId="2" xfId="9" applyNumberFormat="1" applyFont="1" applyFill="1" applyBorder="1"/>
    <xf numFmtId="0" fontId="18" fillId="0" borderId="0" xfId="0" applyFont="1"/>
    <xf numFmtId="164" fontId="14" fillId="0" borderId="0" xfId="9" applyNumberFormat="1" applyFont="1" applyFill="1"/>
    <xf numFmtId="167" fontId="19" fillId="0" borderId="2" xfId="0" applyNumberFormat="1" applyFont="1" applyBorder="1"/>
    <xf numFmtId="0" fontId="8" fillId="0" borderId="4" xfId="0" applyFont="1" applyBorder="1"/>
    <xf numFmtId="0" fontId="20" fillId="0" borderId="0" xfId="0" applyFont="1"/>
    <xf numFmtId="0" fontId="20" fillId="0" borderId="2" xfId="0" applyFont="1" applyBorder="1"/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10" fontId="8" fillId="0" borderId="0" xfId="17" applyNumberFormat="1" applyFont="1"/>
    <xf numFmtId="169" fontId="6" fillId="0" borderId="0" xfId="0" applyNumberFormat="1" applyFont="1"/>
    <xf numFmtId="0" fontId="8" fillId="0" borderId="0" xfId="0" applyFont="1" applyBorder="1"/>
    <xf numFmtId="167" fontId="3" fillId="0" borderId="2" xfId="0" applyNumberFormat="1" applyFont="1" applyBorder="1"/>
    <xf numFmtId="164" fontId="13" fillId="0" borderId="0" xfId="0" applyNumberFormat="1" applyFont="1" applyAlignment="1">
      <alignment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4" fontId="13" fillId="0" borderId="0" xfId="9" applyNumberFormat="1" applyFont="1" applyFill="1" applyBorder="1"/>
    <xf numFmtId="13" fontId="6" fillId="0" borderId="0" xfId="0" applyNumberFormat="1" applyFont="1"/>
    <xf numFmtId="0" fontId="5" fillId="0" borderId="0" xfId="0" applyFont="1" applyFill="1"/>
    <xf numFmtId="165" fontId="6" fillId="0" borderId="2" xfId="0" applyNumberFormat="1" applyFont="1" applyBorder="1"/>
    <xf numFmtId="164" fontId="24" fillId="0" borderId="0" xfId="9" applyNumberFormat="1" applyFont="1" applyFill="1"/>
    <xf numFmtId="0" fontId="14" fillId="0" borderId="0" xfId="0" applyFont="1"/>
    <xf numFmtId="164" fontId="25" fillId="0" borderId="0" xfId="9" applyNumberFormat="1" applyFont="1" applyFill="1"/>
    <xf numFmtId="164" fontId="13" fillId="0" borderId="2" xfId="0" applyNumberFormat="1" applyFont="1" applyBorder="1" applyAlignment="1">
      <alignment wrapText="1"/>
    </xf>
    <xf numFmtId="0" fontId="26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left"/>
    </xf>
    <xf numFmtId="3" fontId="8" fillId="0" borderId="4" xfId="0" applyNumberFormat="1" applyFont="1" applyBorder="1"/>
    <xf numFmtId="3" fontId="8" fillId="0" borderId="0" xfId="0" applyNumberFormat="1" applyFont="1" applyBorder="1"/>
    <xf numFmtId="3" fontId="5" fillId="0" borderId="0" xfId="0" applyNumberFormat="1" applyFont="1" applyFill="1"/>
    <xf numFmtId="4" fontId="8" fillId="0" borderId="4" xfId="0" applyNumberFormat="1" applyFont="1" applyBorder="1"/>
    <xf numFmtId="0" fontId="3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10" fontId="6" fillId="0" borderId="0" xfId="22" applyNumberFormat="1" applyFont="1" applyFill="1"/>
    <xf numFmtId="10" fontId="6" fillId="0" borderId="2" xfId="22" applyNumberFormat="1" applyFont="1" applyFill="1" applyBorder="1"/>
    <xf numFmtId="10" fontId="26" fillId="0" borderId="0" xfId="22" applyNumberFormat="1" applyFont="1" applyFill="1"/>
    <xf numFmtId="170" fontId="6" fillId="0" borderId="0" xfId="0" applyNumberFormat="1" applyFont="1" applyFill="1"/>
    <xf numFmtId="10" fontId="5" fillId="0" borderId="0" xfId="22" applyNumberFormat="1" applyFont="1"/>
    <xf numFmtId="164" fontId="5" fillId="0" borderId="0" xfId="22" applyNumberFormat="1" applyFont="1"/>
    <xf numFmtId="10" fontId="3" fillId="0" borderId="0" xfId="22" applyNumberFormat="1" applyFont="1"/>
    <xf numFmtId="0" fontId="14" fillId="0" borderId="2" xfId="0" applyFont="1" applyBorder="1" applyAlignment="1">
      <alignment horizontal="center"/>
    </xf>
    <xf numFmtId="41" fontId="6" fillId="0" borderId="2" xfId="9" applyNumberFormat="1" applyFont="1" applyBorder="1"/>
    <xf numFmtId="165" fontId="6" fillId="0" borderId="3" xfId="0" applyNumberFormat="1" applyFont="1" applyBorder="1"/>
    <xf numFmtId="0" fontId="45" fillId="0" borderId="0" xfId="0" applyFont="1"/>
    <xf numFmtId="0" fontId="44" fillId="0" borderId="0" xfId="0" applyFont="1" applyAlignment="1">
      <alignment horizontal="center"/>
    </xf>
    <xf numFmtId="164" fontId="46" fillId="0" borderId="0" xfId="0" applyNumberFormat="1" applyFont="1"/>
    <xf numFmtId="164" fontId="47" fillId="0" borderId="0" xfId="9" applyNumberFormat="1" applyFont="1"/>
    <xf numFmtId="164" fontId="48" fillId="0" borderId="0" xfId="9" applyNumberFormat="1" applyFont="1"/>
    <xf numFmtId="0" fontId="45" fillId="0" borderId="2" xfId="0" applyFont="1" applyBorder="1"/>
    <xf numFmtId="164" fontId="47" fillId="0" borderId="2" xfId="9" applyNumberFormat="1" applyFont="1" applyBorder="1"/>
    <xf numFmtId="0" fontId="49" fillId="0" borderId="0" xfId="0" applyFont="1"/>
    <xf numFmtId="164" fontId="49" fillId="0" borderId="0" xfId="9" applyNumberFormat="1" applyFont="1"/>
    <xf numFmtId="164" fontId="45" fillId="0" borderId="0" xfId="0" applyNumberFormat="1" applyFont="1"/>
    <xf numFmtId="164" fontId="45" fillId="0" borderId="0" xfId="9" applyNumberFormat="1" applyFont="1"/>
    <xf numFmtId="0" fontId="50" fillId="0" borderId="0" xfId="0" applyFont="1"/>
    <xf numFmtId="164" fontId="50" fillId="0" borderId="0" xfId="9" applyNumberFormat="1" applyFont="1"/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/>
    <xf numFmtId="0" fontId="53" fillId="0" borderId="0" xfId="0" applyFont="1" applyBorder="1"/>
    <xf numFmtId="0" fontId="54" fillId="0" borderId="1" xfId="0" applyFont="1" applyBorder="1" applyAlignment="1">
      <alignment horizontal="center" vertical="center"/>
    </xf>
    <xf numFmtId="167" fontId="53" fillId="0" borderId="0" xfId="0" applyNumberFormat="1" applyFont="1" applyBorder="1"/>
    <xf numFmtId="0" fontId="55" fillId="0" borderId="2" xfId="0" applyFont="1" applyBorder="1"/>
    <xf numFmtId="0" fontId="52" fillId="0" borderId="2" xfId="0" applyFont="1" applyBorder="1"/>
    <xf numFmtId="167" fontId="53" fillId="0" borderId="0" xfId="0" applyNumberFormat="1" applyFont="1"/>
    <xf numFmtId="0" fontId="56" fillId="0" borderId="0" xfId="0" applyFont="1"/>
    <xf numFmtId="0" fontId="52" fillId="0" borderId="0" xfId="0" applyFont="1"/>
    <xf numFmtId="167" fontId="52" fillId="0" borderId="0" xfId="0" applyNumberFormat="1" applyFont="1"/>
    <xf numFmtId="167" fontId="57" fillId="0" borderId="0" xfId="0" applyNumberFormat="1" applyFont="1" applyBorder="1"/>
    <xf numFmtId="167" fontId="57" fillId="0" borderId="0" xfId="0" applyNumberFormat="1" applyFont="1"/>
    <xf numFmtId="165" fontId="53" fillId="0" borderId="0" xfId="0" applyNumberFormat="1" applyFont="1"/>
    <xf numFmtId="167" fontId="53" fillId="0" borderId="2" xfId="0" applyNumberFormat="1" applyFont="1" applyBorder="1"/>
    <xf numFmtId="167" fontId="53" fillId="0" borderId="0" xfId="0" applyNumberFormat="1" applyFont="1" applyFill="1" applyBorder="1"/>
    <xf numFmtId="167" fontId="57" fillId="0" borderId="0" xfId="0" applyNumberFormat="1" applyFont="1" applyFill="1" applyBorder="1"/>
    <xf numFmtId="167" fontId="58" fillId="0" borderId="2" xfId="0" applyNumberFormat="1" applyFont="1" applyBorder="1"/>
    <xf numFmtId="167" fontId="52" fillId="0" borderId="2" xfId="0" applyNumberFormat="1" applyFont="1" applyBorder="1"/>
    <xf numFmtId="0" fontId="53" fillId="0" borderId="2" xfId="0" applyFont="1" applyBorder="1"/>
    <xf numFmtId="0" fontId="59" fillId="0" borderId="0" xfId="0" applyFont="1"/>
    <xf numFmtId="0" fontId="53" fillId="0" borderId="1" xfId="0" applyFont="1" applyBorder="1"/>
    <xf numFmtId="41" fontId="59" fillId="0" borderId="0" xfId="0" applyNumberFormat="1" applyFont="1"/>
    <xf numFmtId="0" fontId="54" fillId="0" borderId="0" xfId="0" applyFont="1"/>
    <xf numFmtId="0" fontId="57" fillId="0" borderId="0" xfId="0" applyFont="1"/>
    <xf numFmtId="41" fontId="59" fillId="0" borderId="1" xfId="0" applyNumberFormat="1" applyFont="1" applyBorder="1"/>
    <xf numFmtId="0" fontId="59" fillId="0" borderId="1" xfId="0" applyFont="1" applyBorder="1" applyAlignment="1">
      <alignment horizontal="left"/>
    </xf>
    <xf numFmtId="3" fontId="5" fillId="0" borderId="0" xfId="0" applyNumberFormat="1" applyFont="1" applyBorder="1"/>
    <xf numFmtId="167" fontId="4" fillId="0" borderId="0" xfId="0" applyNumberFormat="1" applyFont="1" applyFill="1" applyBorder="1"/>
    <xf numFmtId="164" fontId="13" fillId="0" borderId="0" xfId="0" applyNumberFormat="1" applyFont="1" applyAlignment="1">
      <alignment horizontal="left" vertical="center" wrapText="1"/>
    </xf>
    <xf numFmtId="10" fontId="3" fillId="0" borderId="0" xfId="22" applyNumberFormat="1" applyFont="1" applyFill="1"/>
    <xf numFmtId="167" fontId="6" fillId="0" borderId="0" xfId="0" applyNumberFormat="1" applyFont="1"/>
    <xf numFmtId="167" fontId="5" fillId="0" borderId="0" xfId="17" applyNumberFormat="1" applyFont="1"/>
    <xf numFmtId="167" fontId="3" fillId="0" borderId="0" xfId="0" applyNumberFormat="1" applyFont="1"/>
    <xf numFmtId="10" fontId="6" fillId="0" borderId="0" xfId="17" applyNumberFormat="1" applyFont="1"/>
    <xf numFmtId="167" fontId="53" fillId="0" borderId="0" xfId="0" applyNumberFormat="1" applyFont="1" applyAlignment="1">
      <alignment horizontal="right"/>
    </xf>
    <xf numFmtId="0" fontId="5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44" fillId="0" borderId="0" xfId="0" applyFont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0" borderId="0" xfId="13" applyNumberFormat="1" applyFont="1" applyBorder="1" applyAlignment="1">
      <alignment horizontal="center" vertical="center" wrapText="1"/>
    </xf>
    <xf numFmtId="165" fontId="3" fillId="0" borderId="2" xfId="13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0" xfId="13" applyNumberFormat="1" applyFont="1" applyFill="1" applyBorder="1" applyAlignment="1">
      <alignment horizontal="center" vertical="center" wrapText="1"/>
    </xf>
    <xf numFmtId="165" fontId="3" fillId="0" borderId="2" xfId="13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0" xfId="13" applyNumberFormat="1" applyFont="1" applyBorder="1" applyAlignment="1">
      <alignment horizontal="center" vertical="center"/>
    </xf>
    <xf numFmtId="164" fontId="14" fillId="0" borderId="0" xfId="21" applyNumberFormat="1" applyFont="1" applyFill="1" applyBorder="1" applyAlignment="1">
      <alignment horizontal="center" vertical="center" wrapText="1"/>
    </xf>
    <xf numFmtId="164" fontId="14" fillId="0" borderId="2" xfId="21" applyNumberFormat="1" applyFont="1" applyFill="1" applyBorder="1" applyAlignment="1">
      <alignment horizontal="center" vertical="center" wrapText="1"/>
    </xf>
    <xf numFmtId="165" fontId="3" fillId="0" borderId="13" xfId="13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65" fontId="3" fillId="0" borderId="0" xfId="21" applyNumberFormat="1" applyFont="1" applyBorder="1" applyAlignment="1">
      <alignment horizontal="center" vertical="center" wrapText="1"/>
    </xf>
    <xf numFmtId="165" fontId="3" fillId="0" borderId="2" xfId="21" applyNumberFormat="1" applyFont="1" applyBorder="1" applyAlignment="1">
      <alignment horizontal="center" vertical="center" wrapText="1"/>
    </xf>
    <xf numFmtId="165" fontId="3" fillId="0" borderId="0" xfId="21" applyNumberFormat="1" applyFont="1" applyFill="1" applyBorder="1" applyAlignment="1">
      <alignment horizontal="center" vertical="center" wrapText="1"/>
    </xf>
    <xf numFmtId="165" fontId="3" fillId="0" borderId="2" xfId="21" applyNumberFormat="1" applyFont="1" applyFill="1" applyBorder="1" applyAlignment="1">
      <alignment horizontal="center" vertical="center" wrapText="1"/>
    </xf>
    <xf numFmtId="164" fontId="3" fillId="0" borderId="0" xfId="21" applyNumberFormat="1" applyFont="1" applyFill="1" applyBorder="1" applyAlignment="1">
      <alignment horizontal="center" vertical="center" wrapText="1"/>
    </xf>
    <xf numFmtId="164" fontId="3" fillId="0" borderId="2" xfId="21" applyNumberFormat="1" applyFont="1" applyFill="1" applyBorder="1" applyAlignment="1">
      <alignment horizontal="center" vertical="center" wrapText="1"/>
    </xf>
  </cellXfs>
  <cellStyles count="62">
    <cellStyle name="20% - Énfasis1 2" xfId="1"/>
    <cellStyle name="20% - Énfasis1 2 2" xfId="48"/>
    <cellStyle name="20% - Énfasis2 2" xfId="2"/>
    <cellStyle name="20% - Énfasis2 2 2" xfId="49"/>
    <cellStyle name="20% - Énfasis3 2" xfId="3"/>
    <cellStyle name="20% - Énfasis3 2 2" xfId="50"/>
    <cellStyle name="20% - Énfasis4 2" xfId="4"/>
    <cellStyle name="20% - Énfasis4 2 2" xfId="51"/>
    <cellStyle name="20% - Énfasis5" xfId="42" builtinId="46" customBuiltin="1"/>
    <cellStyle name="20% - Énfasis6" xfId="45" builtinId="50" customBuiltin="1"/>
    <cellStyle name="40% - Énfasis1" xfId="35" builtinId="31" customBuiltin="1"/>
    <cellStyle name="40% - Énfasis2" xfId="37" builtinId="35" customBuiltin="1"/>
    <cellStyle name="40% - Énfasis3 2" xfId="5"/>
    <cellStyle name="40% - Énfasis3 2 2" xfId="52"/>
    <cellStyle name="40% - Énfasis4" xfId="40" builtinId="43" customBuiltin="1"/>
    <cellStyle name="40% - Énfasis5" xfId="43" builtinId="47" customBuiltin="1"/>
    <cellStyle name="40% - Énfasis6" xfId="46" builtinId="51" customBuiltin="1"/>
    <cellStyle name="60% - Énfasis1 2" xfId="53"/>
    <cellStyle name="60% - Énfasis2 2" xfId="54"/>
    <cellStyle name="60% - Énfasis3 2" xfId="6"/>
    <cellStyle name="60% - Énfasis4 2" xfId="7"/>
    <cellStyle name="60% - Énfasis5 2" xfId="55"/>
    <cellStyle name="60% - Énfasis6 2" xfId="8"/>
    <cellStyle name="Cálculo" xfId="29" builtinId="22" customBuiltin="1"/>
    <cellStyle name="Celda de comprobación" xfId="31" builtinId="23" customBuiltin="1"/>
    <cellStyle name="Celda vinculada" xfId="30" builtinId="24" customBuiltin="1"/>
    <cellStyle name="Encabezado 4" xfId="25" builtinId="19" customBuiltin="1"/>
    <cellStyle name="Énfasis1" xfId="34" builtinId="29" customBuiltin="1"/>
    <cellStyle name="Énfasis2" xfId="36" builtinId="33" customBuiltin="1"/>
    <cellStyle name="Énfasis3" xfId="38" builtinId="37" customBuiltin="1"/>
    <cellStyle name="Énfasis4" xfId="39" builtinId="41" customBuiltin="1"/>
    <cellStyle name="Énfasis5" xfId="41" builtinId="45" customBuiltin="1"/>
    <cellStyle name="Énfasis6" xfId="44" builtinId="49" customBuiltin="1"/>
    <cellStyle name="Entrada" xfId="27" builtinId="20" customBuiltin="1"/>
    <cellStyle name="Incorrecto" xfId="26" builtinId="27" customBuiltin="1"/>
    <cellStyle name="Millares" xfId="9" builtinId="3"/>
    <cellStyle name="Millares 2" xfId="10"/>
    <cellStyle name="Millares 3" xfId="11"/>
    <cellStyle name="Millares 3 2" xfId="57"/>
    <cellStyle name="Millares 4" xfId="12"/>
    <cellStyle name="Millares 4 2" xfId="58"/>
    <cellStyle name="Millares 5" xfId="56"/>
    <cellStyle name="Millares_definitivosantana" xfId="13"/>
    <cellStyle name="Millares_definitivosantana 2" xfId="21"/>
    <cellStyle name="Neutral" xfId="14" builtinId="28" customBuiltin="1"/>
    <cellStyle name="Normal" xfId="0" builtinId="0"/>
    <cellStyle name="Normal 2" xfId="15"/>
    <cellStyle name="Normal 2 2" xfId="59"/>
    <cellStyle name="Normal 3" xfId="47"/>
    <cellStyle name="Notas 2" xfId="16"/>
    <cellStyle name="Porcentaje" xfId="17" builtinId="5"/>
    <cellStyle name="Porcentaje 2" xfId="18"/>
    <cellStyle name="Porcentaje 2 2" xfId="60"/>
    <cellStyle name="Porcentaje 3" xfId="19"/>
    <cellStyle name="Porcentaje 3 2" xfId="22"/>
    <cellStyle name="Salida" xfId="28" builtinId="21" customBuiltin="1"/>
    <cellStyle name="Texto de advertencia" xfId="32" builtinId="11" customBuiltin="1"/>
    <cellStyle name="Texto explicativo" xfId="33" builtinId="53" customBuiltin="1"/>
    <cellStyle name="Título 2" xfId="23" builtinId="17" customBuiltin="1"/>
    <cellStyle name="Título 3" xfId="24" builtinId="18" customBuiltin="1"/>
    <cellStyle name="Título 4" xfId="6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93</xdr:row>
      <xdr:rowOff>74083</xdr:rowOff>
    </xdr:from>
    <xdr:to>
      <xdr:col>0</xdr:col>
      <xdr:colOff>2335742</xdr:colOff>
      <xdr:row>96</xdr:row>
      <xdr:rowOff>153458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B0AC-503B-4D80-8749-75618F6E2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17727083"/>
          <a:ext cx="2124075" cy="65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87</xdr:row>
      <xdr:rowOff>179917</xdr:rowOff>
    </xdr:from>
    <xdr:to>
      <xdr:col>1</xdr:col>
      <xdr:colOff>190499</xdr:colOff>
      <xdr:row>89</xdr:row>
      <xdr:rowOff>113242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232657-3EE3-4077-9EC2-12DE584CC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6668750"/>
          <a:ext cx="4635499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64</xdr:row>
      <xdr:rowOff>9525</xdr:rowOff>
    </xdr:from>
    <xdr:to>
      <xdr:col>0</xdr:col>
      <xdr:colOff>2295525</xdr:colOff>
      <xdr:row>66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71138C-997A-4319-9A37-05A53360D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649200"/>
          <a:ext cx="21240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70</xdr:row>
      <xdr:rowOff>152400</xdr:rowOff>
    </xdr:from>
    <xdr:to>
      <xdr:col>1</xdr:col>
      <xdr:colOff>1085850</xdr:colOff>
      <xdr:row>72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8C451A-ACEC-4BF0-9BE3-05EA04562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954125"/>
          <a:ext cx="57912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view="pageBreakPreview" zoomScale="90" zoomScaleNormal="100" zoomScaleSheetLayoutView="90" workbookViewId="0">
      <selection activeCell="A10" sqref="A10"/>
    </sheetView>
  </sheetViews>
  <sheetFormatPr baseColWidth="10" defaultColWidth="11.5703125" defaultRowHeight="15"/>
  <cols>
    <col min="1" max="1" width="67.5703125" style="120" customWidth="1"/>
    <col min="2" max="3" width="20.7109375" style="120" bestFit="1" customWidth="1"/>
    <col min="4" max="4" width="14.7109375" style="126" customWidth="1"/>
    <col min="5" max="5" width="42.85546875" style="126" bestFit="1" customWidth="1"/>
    <col min="6" max="6" width="16.42578125" style="126" customWidth="1"/>
    <col min="7" max="7" width="13.7109375" style="120" bestFit="1" customWidth="1"/>
    <col min="8" max="16384" width="11.5703125" style="120"/>
  </cols>
  <sheetData>
    <row r="1" spans="1:7" ht="15.75">
      <c r="A1" s="155" t="s">
        <v>0</v>
      </c>
      <c r="B1" s="155"/>
      <c r="C1" s="155"/>
      <c r="D1" s="119"/>
      <c r="E1" s="119"/>
      <c r="F1" s="119"/>
    </row>
    <row r="2" spans="1:7" ht="15.75">
      <c r="A2" s="155" t="s">
        <v>277</v>
      </c>
      <c r="B2" s="155"/>
      <c r="C2" s="155"/>
      <c r="D2" s="119"/>
      <c r="E2" s="119"/>
      <c r="F2" s="119"/>
    </row>
    <row r="3" spans="1:7" ht="15.75">
      <c r="A3" s="155" t="s">
        <v>374</v>
      </c>
      <c r="B3" s="155"/>
      <c r="C3" s="155"/>
      <c r="D3" s="119"/>
      <c r="E3" s="119"/>
      <c r="F3" s="119"/>
    </row>
    <row r="4" spans="1:7" ht="15.75">
      <c r="A4" s="119"/>
      <c r="B4" s="119"/>
      <c r="C4" s="119"/>
      <c r="D4" s="119"/>
      <c r="E4" s="119"/>
      <c r="F4" s="119"/>
    </row>
    <row r="5" spans="1:7" ht="16.5" thickBot="1">
      <c r="A5" s="121"/>
      <c r="B5" s="122">
        <v>2017</v>
      </c>
      <c r="C5" s="122">
        <v>2016</v>
      </c>
      <c r="D5" s="123"/>
      <c r="E5" s="123"/>
      <c r="F5" s="123"/>
      <c r="G5" s="121"/>
    </row>
    <row r="6" spans="1:7" s="127" customFormat="1" ht="17.25" thickBot="1">
      <c r="A6" s="124" t="s">
        <v>3</v>
      </c>
      <c r="B6" s="125"/>
      <c r="C6" s="125"/>
      <c r="D6" s="120"/>
      <c r="E6" s="126"/>
      <c r="F6" s="126"/>
    </row>
    <row r="7" spans="1:7" ht="9.75" customHeight="1" thickTop="1"/>
    <row r="8" spans="1:7" ht="15.75">
      <c r="A8" s="128" t="s">
        <v>4</v>
      </c>
      <c r="B8" s="128"/>
      <c r="C8" s="128"/>
    </row>
    <row r="9" spans="1:7" ht="15.75">
      <c r="A9" s="128" t="s">
        <v>267</v>
      </c>
      <c r="B9" s="129">
        <f>+B10+B11</f>
        <v>6225810.21</v>
      </c>
      <c r="C9" s="129">
        <f>+C10+C11</f>
        <v>13307547.199999999</v>
      </c>
    </row>
    <row r="10" spans="1:7">
      <c r="A10" s="123" t="s">
        <v>5</v>
      </c>
      <c r="B10" s="126">
        <v>200000</v>
      </c>
      <c r="C10" s="126">
        <v>200000</v>
      </c>
    </row>
    <row r="11" spans="1:7">
      <c r="A11" s="123" t="s">
        <v>6</v>
      </c>
      <c r="B11" s="126">
        <v>6025810.21</v>
      </c>
      <c r="C11" s="4">
        <v>13107547.199999999</v>
      </c>
    </row>
    <row r="12" spans="1:7" ht="12.75" customHeight="1">
      <c r="A12" s="123"/>
      <c r="B12" s="126"/>
      <c r="C12" s="4"/>
    </row>
    <row r="13" spans="1:7" ht="15.75">
      <c r="A13" s="130" t="s">
        <v>268</v>
      </c>
      <c r="B13" s="131">
        <f>+B14+B15</f>
        <v>74168498.920000002</v>
      </c>
      <c r="C13" s="131">
        <f>+C14+C15</f>
        <v>63725329.780000001</v>
      </c>
    </row>
    <row r="14" spans="1:7">
      <c r="A14" s="123" t="s">
        <v>7</v>
      </c>
      <c r="B14" s="123">
        <v>53266241.219999999</v>
      </c>
      <c r="C14" s="3">
        <v>45910604.600000001</v>
      </c>
      <c r="E14" s="132"/>
      <c r="G14" s="126"/>
    </row>
    <row r="15" spans="1:7">
      <c r="A15" s="123" t="s">
        <v>8</v>
      </c>
      <c r="B15" s="3">
        <v>20902257.699999999</v>
      </c>
      <c r="C15" s="3">
        <v>17814725.18</v>
      </c>
      <c r="E15" s="132"/>
      <c r="G15" s="126"/>
    </row>
    <row r="16" spans="1:7" ht="12" customHeight="1">
      <c r="A16" s="123"/>
      <c r="B16" s="3"/>
      <c r="C16" s="3"/>
      <c r="E16" s="132"/>
      <c r="G16" s="126"/>
    </row>
    <row r="17" spans="1:7" ht="15.75">
      <c r="A17" s="130" t="s">
        <v>269</v>
      </c>
      <c r="B17" s="130">
        <f>+B18+B19</f>
        <v>58894002</v>
      </c>
      <c r="C17" s="130">
        <f>+C18+C19</f>
        <v>56868626</v>
      </c>
      <c r="E17" s="132"/>
      <c r="G17" s="126"/>
    </row>
    <row r="18" spans="1:7">
      <c r="A18" s="123" t="s">
        <v>9</v>
      </c>
      <c r="B18" s="123">
        <v>23819113</v>
      </c>
      <c r="C18" s="123">
        <v>21793737</v>
      </c>
      <c r="G18" s="126"/>
    </row>
    <row r="19" spans="1:7" ht="15.75" thickBot="1">
      <c r="A19" s="133" t="s">
        <v>10</v>
      </c>
      <c r="B19" s="133">
        <v>35074889</v>
      </c>
      <c r="C19" s="133">
        <v>35074889</v>
      </c>
      <c r="G19" s="126"/>
    </row>
    <row r="20" spans="1:7" ht="16.5" thickTop="1">
      <c r="A20" s="128" t="s">
        <v>11</v>
      </c>
      <c r="B20" s="129">
        <f>+B9+B13+B17</f>
        <v>139288311.13</v>
      </c>
      <c r="C20" s="129">
        <f>+C9+C13+C17</f>
        <v>133901502.98</v>
      </c>
      <c r="G20" s="126"/>
    </row>
    <row r="21" spans="1:7" ht="6.75" customHeight="1">
      <c r="G21" s="126"/>
    </row>
    <row r="22" spans="1:7" ht="15.75">
      <c r="A22" s="128" t="s">
        <v>270</v>
      </c>
      <c r="B22" s="131">
        <f>SUM(B23:B24)</f>
        <v>18016590</v>
      </c>
      <c r="C22" s="131">
        <f>SUM(C23:C24)</f>
        <v>13196213</v>
      </c>
      <c r="E22" s="132"/>
      <c r="G22" s="126"/>
    </row>
    <row r="23" spans="1:7">
      <c r="A23" s="3" t="s">
        <v>406</v>
      </c>
      <c r="B23" s="126">
        <f>15870416+840300+411754+656225+129895</f>
        <v>17908590</v>
      </c>
      <c r="C23" s="4">
        <f>7936509+1509079+1164414+1843951+7660+17600</f>
        <v>12479213</v>
      </c>
      <c r="G23" s="126"/>
    </row>
    <row r="24" spans="1:7">
      <c r="A24" s="123" t="s">
        <v>13</v>
      </c>
      <c r="B24" s="134">
        <v>108000</v>
      </c>
      <c r="C24" s="4">
        <v>717000</v>
      </c>
      <c r="G24" s="126"/>
    </row>
    <row r="25" spans="1:7">
      <c r="A25" s="123"/>
      <c r="B25" s="134"/>
      <c r="C25" s="147"/>
      <c r="G25" s="126"/>
    </row>
    <row r="26" spans="1:7" ht="15.75">
      <c r="A26" s="130" t="s">
        <v>271</v>
      </c>
      <c r="B26" s="135">
        <f>+B27</f>
        <v>-6716727</v>
      </c>
      <c r="C26" s="135">
        <f>+C27</f>
        <v>-6716727</v>
      </c>
      <c r="G26" s="126"/>
    </row>
    <row r="27" spans="1:7" ht="15.75" thickBot="1">
      <c r="A27" s="133" t="s">
        <v>14</v>
      </c>
      <c r="B27" s="133">
        <v>-6716727</v>
      </c>
      <c r="C27" s="133">
        <v>-6716727</v>
      </c>
      <c r="G27" s="126"/>
    </row>
    <row r="28" spans="1:7" ht="20.25" customHeight="1" thickTop="1">
      <c r="A28" s="128" t="s">
        <v>272</v>
      </c>
      <c r="B28" s="131">
        <f>+B22+B26</f>
        <v>11299863</v>
      </c>
      <c r="C28" s="131">
        <f>+C22+C26</f>
        <v>6479486</v>
      </c>
      <c r="G28" s="126"/>
    </row>
    <row r="29" spans="1:7" ht="8.25" customHeight="1">
      <c r="G29" s="126"/>
    </row>
    <row r="30" spans="1:7" ht="15.75">
      <c r="A30" s="128" t="s">
        <v>15</v>
      </c>
      <c r="B30" s="128"/>
      <c r="C30" s="128"/>
      <c r="G30" s="126"/>
    </row>
    <row r="31" spans="1:7">
      <c r="A31" s="123" t="s">
        <v>16</v>
      </c>
      <c r="B31" s="123">
        <f>6096400+1330081</f>
        <v>7426481</v>
      </c>
      <c r="C31" s="123">
        <f>6096400+1330081</f>
        <v>7426481</v>
      </c>
      <c r="G31" s="126"/>
    </row>
    <row r="32" spans="1:7">
      <c r="A32" s="123" t="s">
        <v>17</v>
      </c>
      <c r="B32" s="123">
        <v>1435900</v>
      </c>
      <c r="C32" s="123">
        <v>1435900</v>
      </c>
      <c r="G32" s="126"/>
    </row>
    <row r="33" spans="1:7">
      <c r="A33" s="123" t="s">
        <v>18</v>
      </c>
      <c r="B33" s="123">
        <f>4861700+777872+1772364</f>
        <v>7411936</v>
      </c>
      <c r="C33" s="123">
        <f>4861700+777872+1772364</f>
        <v>7411936</v>
      </c>
      <c r="G33" s="126"/>
    </row>
    <row r="34" spans="1:7" ht="15.75" thickBot="1">
      <c r="A34" s="133" t="s">
        <v>19</v>
      </c>
      <c r="B34" s="133">
        <f>-13995861-2278456</f>
        <v>-16274317</v>
      </c>
      <c r="C34" s="133">
        <f>-13995861-2278456</f>
        <v>-16274317</v>
      </c>
    </row>
    <row r="35" spans="1:7" ht="16.5" thickTop="1">
      <c r="A35" s="128" t="s">
        <v>20</v>
      </c>
      <c r="B35" s="129">
        <f>SUM(B31:B34)</f>
        <v>0</v>
      </c>
      <c r="C35" s="129">
        <f>SUM(C31:C34)</f>
        <v>0</v>
      </c>
      <c r="D35" s="123"/>
    </row>
    <row r="36" spans="1:7" ht="7.5" customHeight="1">
      <c r="A36" s="128"/>
      <c r="B36" s="129"/>
      <c r="C36" s="129"/>
      <c r="D36" s="123"/>
    </row>
    <row r="37" spans="1:7" ht="15.75">
      <c r="A37" s="128" t="s">
        <v>273</v>
      </c>
      <c r="B37" s="129"/>
      <c r="C37" s="129"/>
      <c r="D37" s="123"/>
    </row>
    <row r="38" spans="1:7" ht="15.75" thickBot="1">
      <c r="A38" s="133" t="s">
        <v>21</v>
      </c>
      <c r="B38" s="136">
        <v>0</v>
      </c>
      <c r="C38" s="63">
        <v>0</v>
      </c>
      <c r="D38" s="123"/>
    </row>
    <row r="39" spans="1:7" ht="9" customHeight="1" thickTop="1">
      <c r="D39" s="129"/>
    </row>
    <row r="40" spans="1:7" ht="16.5" thickBot="1">
      <c r="A40" s="125" t="s">
        <v>22</v>
      </c>
      <c r="B40" s="137">
        <f>+B20+B28+B35+B38</f>
        <v>150588174.13</v>
      </c>
      <c r="C40" s="137">
        <f>+C20+C28+C35+C38</f>
        <v>140380988.98000002</v>
      </c>
    </row>
    <row r="41" spans="1:7" ht="9" customHeight="1" thickTop="1">
      <c r="B41" s="126"/>
      <c r="C41" s="126"/>
    </row>
    <row r="42" spans="1:7" ht="17.25" thickBot="1">
      <c r="A42" s="124" t="s">
        <v>23</v>
      </c>
      <c r="B42" s="137"/>
      <c r="C42" s="125"/>
    </row>
    <row r="43" spans="1:7" ht="15.75" thickTop="1">
      <c r="A43" s="126"/>
      <c r="B43" s="126"/>
      <c r="C43" s="126"/>
    </row>
    <row r="44" spans="1:7" ht="15.75">
      <c r="A44" s="128" t="s">
        <v>24</v>
      </c>
      <c r="B44" s="126"/>
      <c r="C44" s="126"/>
    </row>
    <row r="45" spans="1:7" ht="15.75">
      <c r="A45" s="128" t="s">
        <v>274</v>
      </c>
      <c r="B45" s="129">
        <f>SUM(B46:B47)</f>
        <v>1472058</v>
      </c>
      <c r="C45" s="129">
        <f>+C46+C47</f>
        <v>611988</v>
      </c>
    </row>
    <row r="46" spans="1:7">
      <c r="A46" s="126" t="s">
        <v>25</v>
      </c>
      <c r="B46" s="126">
        <v>372150</v>
      </c>
      <c r="C46" s="126">
        <v>386437</v>
      </c>
    </row>
    <row r="47" spans="1:7">
      <c r="A47" s="126" t="s">
        <v>27</v>
      </c>
      <c r="B47" s="126">
        <f>1253816-153908</f>
        <v>1099908</v>
      </c>
      <c r="C47" s="4">
        <v>225551</v>
      </c>
    </row>
    <row r="48" spans="1:7" ht="15.75">
      <c r="A48" s="131" t="s">
        <v>275</v>
      </c>
      <c r="B48" s="131">
        <f>+B49+B50</f>
        <v>184000</v>
      </c>
      <c r="C48" s="131">
        <f>+C49</f>
        <v>345000</v>
      </c>
    </row>
    <row r="49" spans="1:3">
      <c r="A49" s="126" t="s">
        <v>28</v>
      </c>
      <c r="B49" s="126">
        <v>166000</v>
      </c>
      <c r="C49" s="126">
        <v>345000</v>
      </c>
    </row>
    <row r="50" spans="1:3">
      <c r="A50" s="126" t="s">
        <v>309</v>
      </c>
      <c r="B50" s="126">
        <v>18000</v>
      </c>
      <c r="C50" s="126">
        <v>0</v>
      </c>
    </row>
    <row r="51" spans="1:3" ht="15.75">
      <c r="A51" s="131" t="s">
        <v>276</v>
      </c>
      <c r="B51" s="131">
        <f>SUM(B52:B61)</f>
        <v>8233896</v>
      </c>
      <c r="C51" s="131">
        <f>SUM(C52:C61)</f>
        <v>7957417</v>
      </c>
    </row>
    <row r="52" spans="1:3">
      <c r="A52" s="126" t="s">
        <v>29</v>
      </c>
      <c r="B52" s="126">
        <v>619100</v>
      </c>
      <c r="C52" s="4">
        <v>590800</v>
      </c>
    </row>
    <row r="53" spans="1:3">
      <c r="A53" s="126" t="s">
        <v>30</v>
      </c>
      <c r="B53" s="126">
        <v>792300</v>
      </c>
      <c r="C53" s="4">
        <v>756200</v>
      </c>
    </row>
    <row r="54" spans="1:3">
      <c r="A54" s="126" t="s">
        <v>31</v>
      </c>
      <c r="B54" s="126">
        <v>136800</v>
      </c>
      <c r="C54" s="4">
        <v>115200</v>
      </c>
    </row>
    <row r="55" spans="1:3">
      <c r="A55" s="126" t="s">
        <v>32</v>
      </c>
      <c r="B55" s="126">
        <v>505580</v>
      </c>
      <c r="C55" s="4">
        <v>425340</v>
      </c>
    </row>
    <row r="56" spans="1:3">
      <c r="A56" s="4" t="s">
        <v>360</v>
      </c>
      <c r="B56" s="126">
        <v>11085</v>
      </c>
      <c r="C56" s="4">
        <v>0</v>
      </c>
    </row>
    <row r="57" spans="1:3">
      <c r="A57" s="126" t="s">
        <v>36</v>
      </c>
      <c r="B57" s="126">
        <v>5009000</v>
      </c>
      <c r="C57" s="4">
        <v>4853966</v>
      </c>
    </row>
    <row r="58" spans="1:3">
      <c r="A58" s="126" t="s">
        <v>37</v>
      </c>
      <c r="B58" s="154">
        <v>44150</v>
      </c>
      <c r="C58" s="4">
        <v>2189</v>
      </c>
    </row>
    <row r="59" spans="1:3">
      <c r="A59" s="126" t="s">
        <v>38</v>
      </c>
      <c r="B59" s="126">
        <v>603000</v>
      </c>
      <c r="C59" s="4">
        <v>582709</v>
      </c>
    </row>
    <row r="60" spans="1:3">
      <c r="A60" s="126" t="s">
        <v>39</v>
      </c>
      <c r="B60" s="126">
        <v>512881</v>
      </c>
      <c r="C60" s="126">
        <v>631013</v>
      </c>
    </row>
    <row r="61" spans="1:3" hidden="1">
      <c r="A61" s="126" t="s">
        <v>316</v>
      </c>
      <c r="B61" s="126">
        <v>0</v>
      </c>
      <c r="C61" s="126">
        <v>0</v>
      </c>
    </row>
    <row r="62" spans="1:3" ht="15.75">
      <c r="A62" s="131" t="s">
        <v>41</v>
      </c>
      <c r="B62" s="131">
        <f>SUM(B63:B68)</f>
        <v>50705639</v>
      </c>
      <c r="C62" s="131">
        <f>SUM(C63:C68)</f>
        <v>67541884</v>
      </c>
    </row>
    <row r="63" spans="1:3">
      <c r="A63" s="126" t="s">
        <v>33</v>
      </c>
      <c r="B63" s="126">
        <f>5758359-300000+1933050+1768600</f>
        <v>9160009</v>
      </c>
      <c r="C63" s="126">
        <f>5758359-300000+1933050+1768600</f>
        <v>9160009</v>
      </c>
    </row>
    <row r="64" spans="1:3">
      <c r="A64" s="126" t="s">
        <v>34</v>
      </c>
      <c r="B64" s="126">
        <v>1340930</v>
      </c>
      <c r="C64" s="4">
        <v>2853251</v>
      </c>
    </row>
    <row r="65" spans="1:7">
      <c r="A65" s="123" t="s">
        <v>35</v>
      </c>
      <c r="B65" s="126">
        <v>1130786</v>
      </c>
      <c r="C65" s="4">
        <v>1474079</v>
      </c>
      <c r="G65" s="126"/>
    </row>
    <row r="66" spans="1:7">
      <c r="A66" s="123" t="s">
        <v>12</v>
      </c>
      <c r="B66" s="126">
        <v>0</v>
      </c>
      <c r="C66" s="4">
        <v>262031</v>
      </c>
      <c r="G66" s="126"/>
    </row>
    <row r="67" spans="1:7">
      <c r="A67" s="126" t="s">
        <v>256</v>
      </c>
      <c r="B67" s="126">
        <v>7718198</v>
      </c>
      <c r="C67" s="4">
        <v>14448798</v>
      </c>
      <c r="G67" s="126"/>
    </row>
    <row r="68" spans="1:7" ht="15.75" thickBot="1">
      <c r="A68" s="126" t="s">
        <v>257</v>
      </c>
      <c r="B68" s="133">
        <v>31355716</v>
      </c>
      <c r="C68" s="6">
        <v>39343716</v>
      </c>
    </row>
    <row r="69" spans="1:7" ht="16.5" thickTop="1">
      <c r="A69" s="128" t="s">
        <v>40</v>
      </c>
      <c r="B69" s="129">
        <f>+B45+B48+B51+B62</f>
        <v>60595593</v>
      </c>
      <c r="C69" s="129">
        <f>+C45+C48+C51+C62</f>
        <v>76456289</v>
      </c>
    </row>
    <row r="70" spans="1:7">
      <c r="A70" s="123"/>
      <c r="B70" s="123"/>
      <c r="C70" s="123"/>
    </row>
    <row r="71" spans="1:7" ht="18.75" customHeight="1" thickBot="1">
      <c r="A71" s="125" t="s">
        <v>43</v>
      </c>
      <c r="B71" s="137">
        <f>+B45+B48+B51+B62</f>
        <v>60595593</v>
      </c>
      <c r="C71" s="137">
        <f>+C45+C48+C51+C62</f>
        <v>76456289</v>
      </c>
      <c r="E71" s="4"/>
    </row>
    <row r="72" spans="1:7" ht="15.75" thickTop="1">
      <c r="A72" s="126"/>
      <c r="B72" s="126"/>
      <c r="C72" s="126"/>
    </row>
    <row r="73" spans="1:7" ht="15.75" thickBot="1">
      <c r="A73" s="138"/>
      <c r="B73" s="133"/>
      <c r="C73" s="133"/>
    </row>
    <row r="74" spans="1:7" ht="17.25" thickTop="1" thickBot="1">
      <c r="A74" s="125" t="s">
        <v>44</v>
      </c>
      <c r="B74" s="125"/>
      <c r="C74" s="125"/>
    </row>
    <row r="75" spans="1:7" ht="15.75" thickTop="1">
      <c r="A75" s="126"/>
      <c r="B75" s="126"/>
      <c r="C75" s="126"/>
    </row>
    <row r="76" spans="1:7">
      <c r="A76" s="3" t="s">
        <v>403</v>
      </c>
      <c r="B76" s="126">
        <f>69024133.43-5099433.45</f>
        <v>63924699.980000004</v>
      </c>
      <c r="C76" s="126">
        <v>69024133.430000007</v>
      </c>
    </row>
    <row r="77" spans="1:7" ht="15.75" thickBot="1">
      <c r="A77" s="6" t="s">
        <v>402</v>
      </c>
      <c r="B77" s="133">
        <f>+EIR!B59</f>
        <v>26067881.149999976</v>
      </c>
      <c r="C77" s="133">
        <f>+EIR!C59</f>
        <v>-5099433.4500000179</v>
      </c>
    </row>
    <row r="78" spans="1:7" ht="16.5" thickTop="1">
      <c r="A78" s="128" t="s">
        <v>45</v>
      </c>
      <c r="B78" s="129">
        <f>SUM(B76:B77)</f>
        <v>89992581.12999998</v>
      </c>
      <c r="C78" s="129">
        <f>SUM(C76:C77)</f>
        <v>63924699.979999989</v>
      </c>
      <c r="E78" s="120"/>
    </row>
    <row r="79" spans="1:7">
      <c r="A79" s="126"/>
      <c r="B79" s="126"/>
      <c r="C79" s="126"/>
      <c r="E79" s="120"/>
    </row>
    <row r="80" spans="1:7" ht="16.5" thickBot="1">
      <c r="A80" s="125" t="s">
        <v>46</v>
      </c>
      <c r="B80" s="137">
        <f>+B71+B78</f>
        <v>150588174.13</v>
      </c>
      <c r="C80" s="137">
        <f>+C71+C78</f>
        <v>140380988.97999999</v>
      </c>
    </row>
    <row r="81" spans="1:4" s="139" customFormat="1" ht="15.75" thickTop="1">
      <c r="A81" s="121"/>
      <c r="B81" s="132">
        <f>+B80-B40</f>
        <v>0</v>
      </c>
      <c r="C81" s="132">
        <f>+C80-C40</f>
        <v>0</v>
      </c>
      <c r="D81" s="126"/>
    </row>
    <row r="82" spans="1:4" s="139" customFormat="1">
      <c r="A82" s="120"/>
      <c r="B82" s="120"/>
      <c r="C82" s="120"/>
      <c r="D82" s="126"/>
    </row>
    <row r="83" spans="1:4" s="139" customFormat="1">
      <c r="A83" s="120"/>
      <c r="B83" s="126"/>
      <c r="C83" s="120"/>
      <c r="D83" s="126"/>
    </row>
    <row r="84" spans="1:4" s="139" customFormat="1" ht="15.75" thickBot="1">
      <c r="A84" s="140" t="s">
        <v>47</v>
      </c>
      <c r="B84" s="132"/>
      <c r="D84" s="141"/>
    </row>
    <row r="85" spans="1:4" s="139" customFormat="1" ht="15.75">
      <c r="A85" s="142" t="s">
        <v>253</v>
      </c>
      <c r="B85" s="143"/>
      <c r="C85" s="142"/>
      <c r="D85" s="141"/>
    </row>
    <row r="86" spans="1:4" s="139" customFormat="1">
      <c r="A86" s="139" t="s">
        <v>49</v>
      </c>
      <c r="B86" s="120"/>
      <c r="D86" s="141"/>
    </row>
    <row r="87" spans="1:4" s="139" customFormat="1">
      <c r="D87" s="141"/>
    </row>
    <row r="88" spans="1:4" s="139" customFormat="1">
      <c r="C88" s="141"/>
      <c r="D88" s="141"/>
    </row>
    <row r="89" spans="1:4" s="139" customFormat="1">
      <c r="C89" s="141"/>
      <c r="D89" s="141"/>
    </row>
    <row r="90" spans="1:4" s="139" customFormat="1" ht="15.75" thickBot="1">
      <c r="A90" s="144"/>
      <c r="B90" s="141"/>
      <c r="C90" s="141"/>
    </row>
    <row r="91" spans="1:4" s="139" customFormat="1" ht="15.75">
      <c r="A91" s="142" t="s">
        <v>48</v>
      </c>
      <c r="B91" s="141"/>
      <c r="C91" s="141"/>
    </row>
    <row r="92" spans="1:4">
      <c r="A92" s="139" t="s">
        <v>50</v>
      </c>
      <c r="B92" s="141"/>
      <c r="C92" s="141"/>
      <c r="D92" s="139"/>
    </row>
    <row r="93" spans="1:4">
      <c r="A93" s="139" t="s">
        <v>51</v>
      </c>
      <c r="B93" s="141"/>
      <c r="C93" s="141"/>
      <c r="D93" s="139"/>
    </row>
    <row r="97" spans="1:1" ht="15.75" thickBot="1">
      <c r="A97" s="145"/>
    </row>
    <row r="98" spans="1:1" ht="15.75">
      <c r="A98" s="142" t="s">
        <v>52</v>
      </c>
    </row>
    <row r="99" spans="1:1">
      <c r="A99" s="139" t="s">
        <v>53</v>
      </c>
    </row>
    <row r="100" spans="1:1">
      <c r="A100" s="139" t="s">
        <v>54</v>
      </c>
    </row>
  </sheetData>
  <mergeCells count="3">
    <mergeCell ref="A3:C3"/>
    <mergeCell ref="A2:C2"/>
    <mergeCell ref="A1:C1"/>
  </mergeCells>
  <phoneticPr fontId="0" type="noConversion"/>
  <printOptions horizontalCentered="1"/>
  <pageMargins left="0.78740157480314965" right="0.78740157480314965" top="0" bottom="0.19685039370078741" header="0" footer="0"/>
  <pageSetup scale="5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6"/>
  <sheetViews>
    <sheetView view="pageBreakPreview" zoomScaleNormal="85" zoomScaleSheetLayoutView="100" workbookViewId="0">
      <selection activeCell="A8" sqref="A8"/>
    </sheetView>
  </sheetViews>
  <sheetFormatPr baseColWidth="10" defaultColWidth="11.42578125" defaultRowHeight="15"/>
  <cols>
    <col min="1" max="1" width="73.5703125" style="7" bestFit="1" customWidth="1"/>
    <col min="2" max="2" width="22.7109375" style="12" customWidth="1"/>
    <col min="3" max="3" width="18.7109375" style="7" customWidth="1"/>
    <col min="4" max="4" width="15" style="7" bestFit="1" customWidth="1"/>
    <col min="5" max="16384" width="11.42578125" style="7"/>
  </cols>
  <sheetData>
    <row r="1" spans="1:3" ht="15.75">
      <c r="A1" s="156" t="s">
        <v>0</v>
      </c>
      <c r="B1" s="156"/>
    </row>
    <row r="2" spans="1:3" ht="15.75">
      <c r="A2" s="156" t="s">
        <v>279</v>
      </c>
      <c r="B2" s="156"/>
    </row>
    <row r="3" spans="1:3" ht="15.75">
      <c r="A3" s="156" t="s">
        <v>377</v>
      </c>
      <c r="B3" s="156"/>
    </row>
    <row r="4" spans="1:3" ht="15.75" hidden="1">
      <c r="A4" s="91"/>
      <c r="B4" s="91"/>
    </row>
    <row r="5" spans="1:3" ht="25.5" customHeight="1" thickBot="1">
      <c r="A5" s="8"/>
      <c r="B5" s="2" t="s">
        <v>258</v>
      </c>
      <c r="C5" s="2" t="s">
        <v>55</v>
      </c>
    </row>
    <row r="6" spans="1:3" ht="17.25" thickTop="1" thickBot="1">
      <c r="A6" s="10" t="s">
        <v>56</v>
      </c>
      <c r="B6" s="11"/>
      <c r="C6" s="11"/>
    </row>
    <row r="7" spans="1:3" ht="15.75" thickTop="1"/>
    <row r="8" spans="1:3">
      <c r="A8" s="13" t="s">
        <v>57</v>
      </c>
      <c r="B8" s="13">
        <v>197070616</v>
      </c>
      <c r="C8" s="13">
        <v>161851008</v>
      </c>
    </row>
    <row r="9" spans="1:3">
      <c r="A9" s="13" t="s">
        <v>58</v>
      </c>
      <c r="B9" s="13">
        <v>10332740</v>
      </c>
      <c r="C9" s="13">
        <v>7858715</v>
      </c>
    </row>
    <row r="10" spans="1:3">
      <c r="A10" s="13" t="s">
        <v>59</v>
      </c>
      <c r="B10" s="13">
        <v>1393776</v>
      </c>
      <c r="C10" s="13">
        <v>1062866</v>
      </c>
    </row>
    <row r="11" spans="1:3">
      <c r="A11" s="13" t="s">
        <v>60</v>
      </c>
      <c r="B11" s="13">
        <v>5987399.1399999997</v>
      </c>
      <c r="C11" s="13">
        <v>4102605.54</v>
      </c>
    </row>
    <row r="12" spans="1:3">
      <c r="A12" s="13" t="s">
        <v>61</v>
      </c>
      <c r="B12" s="13">
        <v>1160000</v>
      </c>
      <c r="C12" s="13">
        <v>680000</v>
      </c>
    </row>
    <row r="13" spans="1:3">
      <c r="A13" s="13" t="s">
        <v>62</v>
      </c>
      <c r="B13" s="13">
        <f>1849+429+70</f>
        <v>2348</v>
      </c>
      <c r="C13" s="13">
        <v>155</v>
      </c>
    </row>
    <row r="14" spans="1:3">
      <c r="A14" s="13" t="s">
        <v>370</v>
      </c>
      <c r="B14" s="13">
        <v>333200</v>
      </c>
      <c r="C14" s="13">
        <v>255200</v>
      </c>
    </row>
    <row r="15" spans="1:3">
      <c r="A15" s="14"/>
    </row>
    <row r="16" spans="1:3" ht="16.5" thickBot="1">
      <c r="A16" s="15" t="s">
        <v>63</v>
      </c>
      <c r="B16" s="16">
        <f>SUM(B8:B15)</f>
        <v>216280079.13999999</v>
      </c>
      <c r="C16" s="16">
        <f>SUM(C8:C15)</f>
        <v>175810549.53999999</v>
      </c>
    </row>
    <row r="17" spans="1:5" ht="16.5" thickTop="1" thickBot="1">
      <c r="A17" s="9"/>
      <c r="B17" s="17"/>
      <c r="C17" s="17"/>
    </row>
    <row r="18" spans="1:5" ht="17.25" thickTop="1" thickBot="1">
      <c r="A18" s="15" t="s">
        <v>64</v>
      </c>
      <c r="B18" s="17"/>
      <c r="C18" s="17"/>
    </row>
    <row r="19" spans="1:5" ht="15.75" thickTop="1">
      <c r="A19" s="13" t="s">
        <v>65</v>
      </c>
      <c r="B19" s="13">
        <f>39435304+14612911</f>
        <v>54048215</v>
      </c>
      <c r="C19" s="13">
        <v>40626324</v>
      </c>
    </row>
    <row r="20" spans="1:5">
      <c r="A20" s="13" t="s">
        <v>66</v>
      </c>
      <c r="B20" s="13">
        <v>14435813</v>
      </c>
      <c r="C20" s="13">
        <v>14329000</v>
      </c>
    </row>
    <row r="21" spans="1:5">
      <c r="A21" s="13" t="s">
        <v>67</v>
      </c>
      <c r="B21" s="13">
        <v>3785641</v>
      </c>
      <c r="C21" s="13">
        <v>3504276</v>
      </c>
    </row>
    <row r="22" spans="1:5">
      <c r="A22" s="13" t="s">
        <v>36</v>
      </c>
      <c r="B22" s="13">
        <v>5009000</v>
      </c>
      <c r="C22" s="13">
        <v>4853966</v>
      </c>
    </row>
    <row r="23" spans="1:5">
      <c r="A23" s="13" t="s">
        <v>68</v>
      </c>
      <c r="B23" s="13">
        <v>603000</v>
      </c>
      <c r="C23" s="13">
        <v>582709</v>
      </c>
    </row>
    <row r="24" spans="1:5">
      <c r="A24" s="13" t="s">
        <v>37</v>
      </c>
      <c r="B24" s="13">
        <v>5006811</v>
      </c>
      <c r="C24" s="13">
        <v>4909189</v>
      </c>
    </row>
    <row r="25" spans="1:5">
      <c r="A25" s="13" t="s">
        <v>39</v>
      </c>
      <c r="B25" s="13">
        <v>2337236</v>
      </c>
      <c r="C25" s="13">
        <v>2630721</v>
      </c>
    </row>
    <row r="26" spans="1:5">
      <c r="A26" s="13" t="s">
        <v>69</v>
      </c>
      <c r="B26" s="13">
        <v>1156000</v>
      </c>
      <c r="C26" s="13">
        <v>1216999</v>
      </c>
    </row>
    <row r="27" spans="1:5">
      <c r="A27" s="13" t="s">
        <v>70</v>
      </c>
      <c r="B27" s="13">
        <f>1395863+843948</f>
        <v>2239811</v>
      </c>
      <c r="C27" s="13">
        <v>1286380</v>
      </c>
    </row>
    <row r="28" spans="1:5">
      <c r="A28" s="13" t="s">
        <v>71</v>
      </c>
      <c r="B28" s="13">
        <f>1340200+4792680+6765079</f>
        <v>12897959</v>
      </c>
      <c r="C28" s="13">
        <v>12492598</v>
      </c>
    </row>
    <row r="29" spans="1:5">
      <c r="A29" s="13" t="s">
        <v>72</v>
      </c>
      <c r="B29" s="13">
        <v>2198740</v>
      </c>
      <c r="C29" s="13">
        <v>2114740</v>
      </c>
    </row>
    <row r="30" spans="1:5">
      <c r="A30" s="13" t="s">
        <v>73</v>
      </c>
      <c r="B30" s="13">
        <v>1649580</v>
      </c>
      <c r="C30" s="13">
        <v>1585780</v>
      </c>
    </row>
    <row r="31" spans="1:5">
      <c r="A31" s="13" t="s">
        <v>74</v>
      </c>
      <c r="B31" s="13">
        <v>1100320</v>
      </c>
      <c r="C31" s="13">
        <v>1057120</v>
      </c>
      <c r="D31" s="12"/>
      <c r="E31" s="12"/>
    </row>
    <row r="32" spans="1:5">
      <c r="A32" s="7" t="s">
        <v>26</v>
      </c>
      <c r="B32" s="13">
        <v>4284000</v>
      </c>
      <c r="C32" s="13">
        <v>3664021</v>
      </c>
    </row>
    <row r="33" spans="1:3">
      <c r="A33" s="7" t="s">
        <v>75</v>
      </c>
      <c r="B33" s="13">
        <v>4962000</v>
      </c>
      <c r="C33" s="13">
        <v>4637244</v>
      </c>
    </row>
    <row r="34" spans="1:3">
      <c r="A34" s="7" t="s">
        <v>76</v>
      </c>
      <c r="B34" s="13">
        <v>343000</v>
      </c>
      <c r="C34" s="13">
        <v>321000</v>
      </c>
    </row>
    <row r="35" spans="1:3">
      <c r="A35" s="7" t="s">
        <v>207</v>
      </c>
      <c r="B35" s="13">
        <v>0</v>
      </c>
      <c r="C35" s="13">
        <v>0</v>
      </c>
    </row>
    <row r="36" spans="1:3">
      <c r="A36" s="7" t="s">
        <v>77</v>
      </c>
      <c r="B36" s="13">
        <v>679415</v>
      </c>
      <c r="C36" s="13">
        <v>678231</v>
      </c>
    </row>
    <row r="37" spans="1:3">
      <c r="A37" s="56" t="s">
        <v>78</v>
      </c>
      <c r="B37" s="13">
        <v>450000</v>
      </c>
      <c r="C37" s="13">
        <v>440000</v>
      </c>
    </row>
    <row r="38" spans="1:3">
      <c r="A38" s="7" t="s">
        <v>79</v>
      </c>
      <c r="B38" s="13">
        <v>13351828</v>
      </c>
      <c r="C38" s="13">
        <v>16011950</v>
      </c>
    </row>
    <row r="39" spans="1:3">
      <c r="A39" s="7" t="s">
        <v>80</v>
      </c>
      <c r="B39" s="13">
        <f>78100+132522</f>
        <v>210622</v>
      </c>
      <c r="C39" s="13">
        <v>888778</v>
      </c>
    </row>
    <row r="40" spans="1:3">
      <c r="A40" s="7" t="s">
        <v>81</v>
      </c>
      <c r="B40" s="13">
        <v>45000</v>
      </c>
      <c r="C40" s="13">
        <v>100000</v>
      </c>
    </row>
    <row r="41" spans="1:3">
      <c r="A41" s="7" t="s">
        <v>82</v>
      </c>
      <c r="B41" s="13">
        <v>15675996</v>
      </c>
      <c r="C41" s="13">
        <v>14650248</v>
      </c>
    </row>
    <row r="42" spans="1:3">
      <c r="A42" s="7" t="s">
        <v>83</v>
      </c>
      <c r="B42" s="13">
        <v>975200</v>
      </c>
      <c r="C42" s="13">
        <v>947142</v>
      </c>
    </row>
    <row r="43" spans="1:3">
      <c r="A43" s="46" t="s">
        <v>214</v>
      </c>
      <c r="B43" s="13">
        <v>6708668</v>
      </c>
      <c r="C43" s="13">
        <v>23504656</v>
      </c>
    </row>
    <row r="44" spans="1:3">
      <c r="A44" s="56" t="s">
        <v>85</v>
      </c>
      <c r="B44" s="13">
        <v>18339033</v>
      </c>
      <c r="C44" s="13">
        <v>16770200</v>
      </c>
    </row>
    <row r="45" spans="1:3">
      <c r="A45" s="7" t="s">
        <v>216</v>
      </c>
      <c r="B45" s="13">
        <v>2068000</v>
      </c>
      <c r="C45" s="13">
        <v>2657824</v>
      </c>
    </row>
    <row r="46" spans="1:3">
      <c r="A46" s="7" t="s">
        <v>87</v>
      </c>
      <c r="B46" s="13">
        <v>5492250</v>
      </c>
      <c r="C46" s="13"/>
    </row>
    <row r="47" spans="1:3">
      <c r="A47" s="7" t="s">
        <v>217</v>
      </c>
      <c r="B47" s="13">
        <v>1092000</v>
      </c>
      <c r="C47" s="13">
        <v>163799</v>
      </c>
    </row>
    <row r="48" spans="1:3">
      <c r="A48" s="38" t="s">
        <v>88</v>
      </c>
      <c r="B48" s="13">
        <v>61100</v>
      </c>
      <c r="C48" s="13">
        <v>0</v>
      </c>
    </row>
    <row r="49" spans="1:4">
      <c r="A49" s="43" t="s">
        <v>89</v>
      </c>
      <c r="B49" s="13">
        <v>0</v>
      </c>
      <c r="C49" s="13">
        <v>353300</v>
      </c>
    </row>
    <row r="50" spans="1:4" ht="16.5" customHeight="1">
      <c r="A50" s="7" t="s">
        <v>90</v>
      </c>
      <c r="B50" s="13">
        <v>1379408</v>
      </c>
      <c r="C50" s="13">
        <v>0</v>
      </c>
    </row>
    <row r="51" spans="1:4">
      <c r="A51" s="7" t="s">
        <v>91</v>
      </c>
      <c r="B51" s="13">
        <v>513396</v>
      </c>
      <c r="C51" s="13">
        <v>287010</v>
      </c>
    </row>
    <row r="52" spans="1:4">
      <c r="A52" s="7" t="s">
        <v>92</v>
      </c>
      <c r="B52" s="13">
        <v>0</v>
      </c>
      <c r="C52" s="13">
        <v>677084</v>
      </c>
    </row>
    <row r="53" spans="1:4">
      <c r="A53" s="7" t="s">
        <v>93</v>
      </c>
      <c r="B53" s="13">
        <v>136850</v>
      </c>
      <c r="C53" s="13"/>
    </row>
    <row r="54" spans="1:4" ht="18" customHeight="1">
      <c r="A54" s="7" t="s">
        <v>94</v>
      </c>
      <c r="B54" s="13">
        <v>2754129.99</v>
      </c>
      <c r="C54" s="13">
        <v>174998</v>
      </c>
    </row>
    <row r="55" spans="1:4" ht="18" customHeight="1">
      <c r="A55" s="7" t="s">
        <v>261</v>
      </c>
      <c r="B55" s="13">
        <v>0</v>
      </c>
      <c r="C55" s="13">
        <v>2287271.9900000002</v>
      </c>
    </row>
    <row r="56" spans="1:4" ht="18" customHeight="1" thickBot="1">
      <c r="A56" s="9" t="s">
        <v>95</v>
      </c>
      <c r="B56" s="103">
        <f>339609+3882567</f>
        <v>4222176</v>
      </c>
      <c r="C56" s="103">
        <v>505424</v>
      </c>
    </row>
    <row r="57" spans="1:4" ht="19.5" customHeight="1" thickTop="1" thickBot="1">
      <c r="A57" s="15" t="s">
        <v>96</v>
      </c>
      <c r="B57" s="16">
        <f>SUM(B19:B56)</f>
        <v>190212197.99000001</v>
      </c>
      <c r="C57" s="16">
        <f>SUM(C19:C56)</f>
        <v>180909982.99000001</v>
      </c>
      <c r="D57" s="12"/>
    </row>
    <row r="58" spans="1:4" ht="16.5" thickTop="1" thickBot="1">
      <c r="A58" s="18"/>
      <c r="B58" s="18"/>
      <c r="C58" s="104"/>
    </row>
    <row r="59" spans="1:4" ht="17.25" thickTop="1" thickBot="1">
      <c r="A59" s="42" t="str">
        <f>IF(B59&gt;0,"SUPERAVIT DEL EJERCICIO","DEFICIT DEL EJERCICIO")</f>
        <v>SUPERAVIT DEL EJERCICIO</v>
      </c>
      <c r="B59" s="16">
        <f>+B16-B57</f>
        <v>26067881.149999976</v>
      </c>
      <c r="C59" s="72">
        <f>+C16-C57</f>
        <v>-5099433.4500000179</v>
      </c>
      <c r="D59" s="20"/>
    </row>
    <row r="60" spans="1:4" ht="21" customHeight="1" thickTop="1">
      <c r="B60" s="70"/>
      <c r="C60" s="12"/>
    </row>
    <row r="61" spans="1:4" ht="17.25" customHeight="1">
      <c r="A61" s="19"/>
    </row>
    <row r="62" spans="1:4" ht="15.75" thickBot="1">
      <c r="A62" s="85" t="s">
        <v>47</v>
      </c>
    </row>
    <row r="63" spans="1:4" ht="15.75">
      <c r="A63" s="84" t="s">
        <v>253</v>
      </c>
    </row>
    <row r="64" spans="1:4">
      <c r="A64" s="7" t="s">
        <v>49</v>
      </c>
    </row>
    <row r="66" spans="1:3">
      <c r="C66" s="12"/>
    </row>
    <row r="67" spans="1:3" ht="15.75" thickBot="1">
      <c r="A67" s="86"/>
    </row>
    <row r="68" spans="1:3" ht="15.75">
      <c r="A68" s="84" t="s">
        <v>52</v>
      </c>
    </row>
    <row r="69" spans="1:3">
      <c r="A69" s="7" t="s">
        <v>53</v>
      </c>
    </row>
    <row r="70" spans="1:3">
      <c r="A70" s="7" t="s">
        <v>54</v>
      </c>
    </row>
    <row r="73" spans="1:3" ht="15.75" thickBot="1">
      <c r="A73" s="86"/>
    </row>
    <row r="74" spans="1:3" ht="15.75">
      <c r="A74" s="84" t="s">
        <v>48</v>
      </c>
    </row>
    <row r="75" spans="1:3">
      <c r="A75" s="7" t="s">
        <v>50</v>
      </c>
    </row>
    <row r="76" spans="1:3">
      <c r="A76" s="7" t="s">
        <v>51</v>
      </c>
    </row>
  </sheetData>
  <mergeCells count="3">
    <mergeCell ref="A1:B1"/>
    <mergeCell ref="A2:B2"/>
    <mergeCell ref="A3:B3"/>
  </mergeCells>
  <phoneticPr fontId="0" type="noConversion"/>
  <pageMargins left="0.39370078740157483" right="0.35433070866141736" top="7.874015748031496E-2" bottom="0.11811023622047245" header="0" footer="0.51181102362204722"/>
  <pageSetup scale="62" orientation="portrait" horizontalDpi="360" verticalDpi="36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8"/>
  <sheetViews>
    <sheetView view="pageBreakPreview" zoomScaleNormal="10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5"/>
  <cols>
    <col min="1" max="1" width="13.28515625" style="39" bestFit="1" customWidth="1"/>
    <col min="2" max="2" width="32.85546875" style="44" customWidth="1"/>
    <col min="3" max="3" width="15.5703125" style="50" bestFit="1" customWidth="1"/>
    <col min="4" max="4" width="14.7109375" style="50" customWidth="1"/>
    <col min="5" max="5" width="13" style="50" customWidth="1"/>
    <col min="6" max="6" width="12.85546875" style="50" bestFit="1" customWidth="1"/>
    <col min="7" max="7" width="18.7109375" style="53" customWidth="1"/>
    <col min="8" max="8" width="16" style="25" customWidth="1"/>
    <col min="9" max="9" width="14.85546875" style="54" bestFit="1" customWidth="1"/>
    <col min="10" max="10" width="14.85546875" style="7" bestFit="1" customWidth="1"/>
    <col min="11" max="11" width="11.7109375" style="7" bestFit="1" customWidth="1"/>
    <col min="12" max="16384" width="11.42578125" style="7"/>
  </cols>
  <sheetData>
    <row r="1" spans="1:11" ht="15.75">
      <c r="A1" s="156" t="s">
        <v>0</v>
      </c>
      <c r="B1" s="156"/>
      <c r="C1" s="156"/>
      <c r="D1" s="156"/>
      <c r="E1" s="156"/>
      <c r="F1" s="156"/>
      <c r="G1" s="156"/>
      <c r="H1" s="156"/>
      <c r="I1" s="156"/>
    </row>
    <row r="2" spans="1:11" ht="15.75">
      <c r="A2" s="156" t="s">
        <v>404</v>
      </c>
      <c r="B2" s="156"/>
      <c r="C2" s="156"/>
      <c r="D2" s="156"/>
      <c r="E2" s="156"/>
      <c r="F2" s="156"/>
      <c r="G2" s="156"/>
      <c r="H2" s="156"/>
      <c r="I2" s="156"/>
    </row>
    <row r="5" spans="1:11" ht="16.5" thickBot="1">
      <c r="A5" s="102" t="s">
        <v>97</v>
      </c>
      <c r="B5" s="92" t="s">
        <v>98</v>
      </c>
      <c r="C5" s="47" t="s">
        <v>99</v>
      </c>
      <c r="D5" s="47" t="s">
        <v>100</v>
      </c>
      <c r="E5" s="47" t="s">
        <v>101</v>
      </c>
      <c r="F5" s="47" t="s">
        <v>102</v>
      </c>
      <c r="G5" s="48" t="s">
        <v>103</v>
      </c>
      <c r="H5" s="48" t="s">
        <v>294</v>
      </c>
      <c r="I5" s="49" t="s">
        <v>104</v>
      </c>
    </row>
    <row r="6" spans="1:11" ht="15.75" thickTop="1">
      <c r="A6" s="67" t="s">
        <v>105</v>
      </c>
      <c r="B6" s="65" t="s">
        <v>106</v>
      </c>
      <c r="C6" s="59">
        <v>398041</v>
      </c>
      <c r="D6" s="59">
        <v>5211</v>
      </c>
      <c r="E6" s="59">
        <v>0</v>
      </c>
      <c r="F6" s="59">
        <v>10000</v>
      </c>
      <c r="G6" s="59">
        <v>15000</v>
      </c>
      <c r="H6" s="59">
        <v>0</v>
      </c>
      <c r="I6" s="59">
        <f>SUM(C6:H6)</f>
        <v>428252</v>
      </c>
      <c r="J6" s="59"/>
      <c r="K6" s="59"/>
    </row>
    <row r="7" spans="1:11" hidden="1">
      <c r="A7" s="67" t="s">
        <v>107</v>
      </c>
      <c r="B7" s="65" t="s">
        <v>369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59">
        <f t="shared" ref="I7:I31" si="0">SUM(C7:H7)</f>
        <v>0</v>
      </c>
      <c r="J7" s="59"/>
      <c r="K7" s="59"/>
    </row>
    <row r="8" spans="1:11">
      <c r="A8" s="67" t="s">
        <v>108</v>
      </c>
      <c r="B8" s="65" t="s">
        <v>109</v>
      </c>
      <c r="C8" s="59">
        <v>2509328</v>
      </c>
      <c r="D8" s="59">
        <v>43049</v>
      </c>
      <c r="E8" s="59">
        <v>118094</v>
      </c>
      <c r="F8" s="59">
        <v>30000</v>
      </c>
      <c r="G8" s="59">
        <v>45000</v>
      </c>
      <c r="H8" s="59">
        <v>0</v>
      </c>
      <c r="I8" s="59">
        <f t="shared" si="0"/>
        <v>2745471</v>
      </c>
      <c r="J8" s="59"/>
      <c r="K8" s="59"/>
    </row>
    <row r="9" spans="1:11" hidden="1">
      <c r="A9" s="67" t="s">
        <v>110</v>
      </c>
      <c r="B9" s="65" t="s">
        <v>111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f t="shared" si="0"/>
        <v>0</v>
      </c>
      <c r="J9" s="59"/>
      <c r="K9" s="59"/>
    </row>
    <row r="10" spans="1:11">
      <c r="A10" s="67" t="s">
        <v>112</v>
      </c>
      <c r="B10" s="65" t="s">
        <v>113</v>
      </c>
      <c r="C10" s="59">
        <v>398041</v>
      </c>
      <c r="D10" s="59">
        <v>8685</v>
      </c>
      <c r="E10" s="59">
        <v>0</v>
      </c>
      <c r="F10" s="59">
        <v>10000</v>
      </c>
      <c r="G10" s="59">
        <v>15000</v>
      </c>
      <c r="H10" s="59">
        <v>0</v>
      </c>
      <c r="I10" s="59">
        <f t="shared" si="0"/>
        <v>431726</v>
      </c>
      <c r="J10" s="59"/>
      <c r="K10" s="59"/>
    </row>
    <row r="11" spans="1:11">
      <c r="A11" s="67" t="s">
        <v>114</v>
      </c>
      <c r="B11" s="65" t="s">
        <v>115</v>
      </c>
      <c r="C11" s="59">
        <v>6670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f t="shared" si="0"/>
        <v>6670</v>
      </c>
      <c r="J11" s="59"/>
      <c r="K11" s="59"/>
    </row>
    <row r="12" spans="1:11">
      <c r="A12" s="67" t="s">
        <v>116</v>
      </c>
      <c r="B12" s="65" t="s">
        <v>117</v>
      </c>
      <c r="C12" s="59">
        <v>398041</v>
      </c>
      <c r="D12" s="59">
        <f>68829-4818</f>
        <v>64011</v>
      </c>
      <c r="E12" s="59">
        <v>0</v>
      </c>
      <c r="F12" s="59">
        <v>10000</v>
      </c>
      <c r="G12" s="59">
        <v>15000</v>
      </c>
      <c r="H12" s="59">
        <v>0</v>
      </c>
      <c r="I12" s="59">
        <f t="shared" si="0"/>
        <v>487052</v>
      </c>
      <c r="J12" s="59"/>
      <c r="K12" s="59"/>
    </row>
    <row r="13" spans="1:11" hidden="1">
      <c r="A13" s="67" t="s">
        <v>118</v>
      </c>
      <c r="B13" s="65" t="s">
        <v>119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f t="shared" si="0"/>
        <v>0</v>
      </c>
      <c r="J13" s="59"/>
      <c r="K13" s="59"/>
    </row>
    <row r="14" spans="1:11">
      <c r="A14" s="67" t="s">
        <v>120</v>
      </c>
      <c r="B14" s="65" t="s">
        <v>121</v>
      </c>
      <c r="C14" s="59">
        <v>4903878</v>
      </c>
      <c r="D14" s="59">
        <v>345279</v>
      </c>
      <c r="E14" s="59">
        <v>0</v>
      </c>
      <c r="F14" s="59">
        <v>151754</v>
      </c>
      <c r="G14" s="59">
        <v>255000</v>
      </c>
      <c r="H14" s="59">
        <v>0</v>
      </c>
      <c r="I14" s="59">
        <f>SUM(C14:H14)</f>
        <v>5655911</v>
      </c>
      <c r="J14" s="59"/>
      <c r="K14" s="59"/>
    </row>
    <row r="15" spans="1:11" hidden="1">
      <c r="A15" s="67" t="s">
        <v>122</v>
      </c>
      <c r="B15" s="65" t="s">
        <v>123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f t="shared" si="0"/>
        <v>0</v>
      </c>
      <c r="J15" s="59"/>
      <c r="K15" s="59"/>
    </row>
    <row r="16" spans="1:11" hidden="1">
      <c r="A16" s="67" t="s">
        <v>124</v>
      </c>
      <c r="B16" s="65" t="s">
        <v>125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f t="shared" si="0"/>
        <v>0</v>
      </c>
      <c r="J16" s="59"/>
      <c r="K16" s="59"/>
    </row>
    <row r="17" spans="1:12" hidden="1">
      <c r="A17" s="67" t="s">
        <v>126</v>
      </c>
      <c r="B17" s="65" t="s">
        <v>127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f t="shared" si="0"/>
        <v>0</v>
      </c>
      <c r="J17" s="59"/>
      <c r="K17" s="59"/>
    </row>
    <row r="18" spans="1:12">
      <c r="A18" s="67" t="s">
        <v>128</v>
      </c>
      <c r="B18" s="65" t="s">
        <v>129</v>
      </c>
      <c r="C18" s="59">
        <v>913351</v>
      </c>
      <c r="D18" s="59">
        <v>52791</v>
      </c>
      <c r="E18" s="59">
        <v>11801</v>
      </c>
      <c r="F18" s="59">
        <v>10000</v>
      </c>
      <c r="G18" s="59">
        <v>15000</v>
      </c>
      <c r="H18" s="59">
        <v>0</v>
      </c>
      <c r="I18" s="59">
        <f>SUM(C18:H18)</f>
        <v>1002943</v>
      </c>
      <c r="J18" s="59"/>
      <c r="K18" s="59"/>
    </row>
    <row r="19" spans="1:12" hidden="1">
      <c r="A19" s="67" t="s">
        <v>130</v>
      </c>
      <c r="B19" s="65" t="s">
        <v>131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f t="shared" si="0"/>
        <v>0</v>
      </c>
      <c r="J19" s="59"/>
      <c r="K19" s="59"/>
    </row>
    <row r="20" spans="1:12" hidden="1">
      <c r="A20" s="67" t="s">
        <v>132</v>
      </c>
      <c r="B20" s="65" t="s">
        <v>133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f t="shared" si="0"/>
        <v>0</v>
      </c>
      <c r="J20" s="59"/>
      <c r="K20" s="59"/>
    </row>
    <row r="21" spans="1:12" hidden="1">
      <c r="A21" s="67" t="s">
        <v>134</v>
      </c>
      <c r="B21" s="65" t="s">
        <v>135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80">
        <f t="shared" si="0"/>
        <v>0</v>
      </c>
      <c r="J21" s="59"/>
      <c r="K21" s="59"/>
    </row>
    <row r="22" spans="1:12" hidden="1">
      <c r="A22" s="67" t="s">
        <v>136</v>
      </c>
      <c r="B22" s="65" t="s">
        <v>137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f t="shared" si="0"/>
        <v>0</v>
      </c>
      <c r="J22" s="59"/>
      <c r="K22" s="59"/>
    </row>
    <row r="23" spans="1:12" hidden="1">
      <c r="A23" s="67" t="s">
        <v>138</v>
      </c>
      <c r="B23" s="65" t="s">
        <v>139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80">
        <f t="shared" si="0"/>
        <v>0</v>
      </c>
      <c r="J23" s="59"/>
      <c r="K23" s="59"/>
    </row>
    <row r="24" spans="1:12" hidden="1">
      <c r="A24" s="67" t="s">
        <v>140</v>
      </c>
      <c r="B24" s="65" t="s">
        <v>141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f t="shared" si="0"/>
        <v>0</v>
      </c>
      <c r="J24" s="59"/>
      <c r="K24" s="59"/>
    </row>
    <row r="25" spans="1:12" hidden="1">
      <c r="A25" s="67" t="s">
        <v>142</v>
      </c>
      <c r="B25" s="65" t="s">
        <v>143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80">
        <f>SUM(C25:H25)</f>
        <v>0</v>
      </c>
      <c r="J25" s="59"/>
      <c r="K25" s="59"/>
      <c r="L25" s="25"/>
    </row>
    <row r="26" spans="1:12" hidden="1">
      <c r="A26" s="67" t="s">
        <v>144</v>
      </c>
      <c r="B26" s="65" t="s">
        <v>145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f t="shared" si="0"/>
        <v>0</v>
      </c>
      <c r="J26" s="59"/>
      <c r="K26" s="59"/>
    </row>
    <row r="27" spans="1:12" hidden="1">
      <c r="A27" s="67" t="s">
        <v>146</v>
      </c>
      <c r="B27" s="65" t="s">
        <v>147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59">
        <v>0</v>
      </c>
      <c r="I27" s="80">
        <f t="shared" si="0"/>
        <v>0</v>
      </c>
      <c r="J27" s="59"/>
      <c r="K27" s="59"/>
    </row>
    <row r="28" spans="1:12">
      <c r="A28" s="67" t="s">
        <v>148</v>
      </c>
      <c r="B28" s="65" t="s">
        <v>359</v>
      </c>
      <c r="C28" s="59">
        <v>436468</v>
      </c>
      <c r="D28" s="59">
        <v>24279</v>
      </c>
      <c r="E28" s="59">
        <v>0</v>
      </c>
      <c r="F28" s="59">
        <v>10000</v>
      </c>
      <c r="G28" s="59">
        <v>15000</v>
      </c>
      <c r="H28" s="59">
        <v>0</v>
      </c>
      <c r="I28" s="80">
        <f t="shared" si="0"/>
        <v>485747</v>
      </c>
      <c r="J28" s="59"/>
      <c r="K28" s="59"/>
    </row>
    <row r="29" spans="1:12">
      <c r="A29" s="67" t="s">
        <v>149</v>
      </c>
      <c r="B29" s="65" t="s">
        <v>150</v>
      </c>
      <c r="C29" s="59">
        <v>5199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80">
        <f t="shared" si="0"/>
        <v>5199</v>
      </c>
      <c r="J29" s="59"/>
      <c r="K29" s="59"/>
    </row>
    <row r="30" spans="1:12" hidden="1">
      <c r="A30" s="67" t="s">
        <v>151</v>
      </c>
      <c r="B30" s="65" t="s">
        <v>152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  <c r="H30" s="59">
        <v>0</v>
      </c>
      <c r="I30" s="59">
        <f t="shared" si="0"/>
        <v>0</v>
      </c>
      <c r="J30" s="59"/>
      <c r="K30" s="59"/>
    </row>
    <row r="31" spans="1:12" hidden="1">
      <c r="A31" s="67" t="s">
        <v>153</v>
      </c>
      <c r="B31" s="65" t="s">
        <v>154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f t="shared" si="0"/>
        <v>0</v>
      </c>
      <c r="J31" s="59"/>
      <c r="K31" s="59"/>
    </row>
    <row r="32" spans="1:12" hidden="1">
      <c r="A32" s="67" t="s">
        <v>155</v>
      </c>
      <c r="B32" s="65" t="s">
        <v>156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80">
        <f t="shared" ref="I32:I48" si="1">SUM(C32:H32)</f>
        <v>0</v>
      </c>
      <c r="J32" s="59"/>
      <c r="K32" s="59"/>
    </row>
    <row r="33" spans="1:12">
      <c r="A33" s="67" t="s">
        <v>157</v>
      </c>
      <c r="B33" s="65" t="s">
        <v>158</v>
      </c>
      <c r="C33" s="59">
        <v>10567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f t="shared" si="1"/>
        <v>10567</v>
      </c>
      <c r="J33" s="59"/>
      <c r="K33" s="59"/>
      <c r="L33" s="25"/>
    </row>
    <row r="34" spans="1:12">
      <c r="A34" s="67" t="s">
        <v>159</v>
      </c>
      <c r="B34" s="65" t="s">
        <v>160</v>
      </c>
      <c r="C34" s="59">
        <v>4276584</v>
      </c>
      <c r="D34" s="59">
        <v>288975</v>
      </c>
      <c r="E34" s="59">
        <v>0</v>
      </c>
      <c r="F34" s="59">
        <v>170000</v>
      </c>
      <c r="G34" s="59">
        <v>266225</v>
      </c>
      <c r="H34" s="59">
        <v>0</v>
      </c>
      <c r="I34" s="59">
        <f t="shared" si="1"/>
        <v>5001784</v>
      </c>
      <c r="J34" s="59"/>
      <c r="K34" s="59"/>
    </row>
    <row r="35" spans="1:12">
      <c r="A35" s="67" t="s">
        <v>161</v>
      </c>
      <c r="B35" s="65" t="s">
        <v>162</v>
      </c>
      <c r="C35" s="59">
        <v>424104</v>
      </c>
      <c r="D35" s="59">
        <v>0</v>
      </c>
      <c r="E35" s="59">
        <v>0</v>
      </c>
      <c r="F35" s="59">
        <v>0</v>
      </c>
      <c r="G35" s="59">
        <v>0</v>
      </c>
      <c r="H35" s="59">
        <v>0</v>
      </c>
      <c r="I35" s="59">
        <f t="shared" si="1"/>
        <v>424104</v>
      </c>
      <c r="J35" s="59"/>
      <c r="K35" s="59"/>
    </row>
    <row r="36" spans="1:12" hidden="1">
      <c r="A36" s="67" t="s">
        <v>163</v>
      </c>
      <c r="B36" s="65" t="s">
        <v>164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f t="shared" si="1"/>
        <v>0</v>
      </c>
      <c r="J36" s="59"/>
      <c r="K36" s="59"/>
    </row>
    <row r="37" spans="1:12">
      <c r="A37" s="67" t="s">
        <v>165</v>
      </c>
      <c r="B37" s="65" t="s">
        <v>166</v>
      </c>
      <c r="C37" s="59">
        <v>786440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f t="shared" si="1"/>
        <v>786440</v>
      </c>
      <c r="J37" s="59"/>
      <c r="K37" s="59"/>
    </row>
    <row r="38" spans="1:12" hidden="1">
      <c r="A38" s="67" t="s">
        <v>167</v>
      </c>
      <c r="B38" s="65" t="s">
        <v>168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f t="shared" si="1"/>
        <v>0</v>
      </c>
      <c r="J38" s="59"/>
      <c r="K38" s="59"/>
    </row>
    <row r="39" spans="1:12">
      <c r="A39" s="67" t="s">
        <v>169</v>
      </c>
      <c r="B39" s="65" t="s">
        <v>170</v>
      </c>
      <c r="C39" s="59">
        <v>398041</v>
      </c>
      <c r="D39" s="59">
        <v>8020</v>
      </c>
      <c r="E39" s="59">
        <v>0</v>
      </c>
      <c r="F39" s="59">
        <v>10000</v>
      </c>
      <c r="G39" s="59">
        <v>15000</v>
      </c>
      <c r="H39" s="59">
        <v>0</v>
      </c>
      <c r="I39" s="59">
        <f t="shared" si="1"/>
        <v>431061</v>
      </c>
      <c r="J39" s="59"/>
      <c r="K39" s="59"/>
    </row>
    <row r="40" spans="1:12" hidden="1">
      <c r="A40" s="67" t="s">
        <v>171</v>
      </c>
      <c r="B40" s="65" t="s">
        <v>172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f t="shared" si="1"/>
        <v>0</v>
      </c>
      <c r="J40" s="59"/>
      <c r="K40" s="59"/>
    </row>
    <row r="41" spans="1:12" hidden="1">
      <c r="A41" s="67" t="s">
        <v>173</v>
      </c>
      <c r="B41" s="65" t="s">
        <v>174</v>
      </c>
      <c r="C41" s="59">
        <v>0</v>
      </c>
      <c r="D41" s="59">
        <v>0</v>
      </c>
      <c r="E41" s="59">
        <v>0</v>
      </c>
      <c r="F41" s="59">
        <v>0</v>
      </c>
      <c r="G41" s="59">
        <v>0</v>
      </c>
      <c r="H41" s="59">
        <v>0</v>
      </c>
      <c r="I41" s="59">
        <f t="shared" si="1"/>
        <v>0</v>
      </c>
      <c r="J41" s="59"/>
      <c r="K41" s="59"/>
    </row>
    <row r="42" spans="1:12" hidden="1">
      <c r="A42" s="67" t="s">
        <v>175</v>
      </c>
      <c r="B42" s="65" t="s">
        <v>176</v>
      </c>
      <c r="C42" s="59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f t="shared" si="1"/>
        <v>0</v>
      </c>
      <c r="J42" s="59"/>
      <c r="K42" s="59"/>
    </row>
    <row r="43" spans="1:12" hidden="1">
      <c r="A43" s="74" t="s">
        <v>177</v>
      </c>
      <c r="B43" s="75" t="s">
        <v>178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59">
        <v>0</v>
      </c>
      <c r="I43" s="59">
        <f t="shared" si="1"/>
        <v>0</v>
      </c>
      <c r="J43" s="59"/>
      <c r="K43" s="59"/>
    </row>
    <row r="44" spans="1:12" hidden="1">
      <c r="A44" s="74" t="s">
        <v>179</v>
      </c>
      <c r="B44" s="75" t="s">
        <v>180</v>
      </c>
      <c r="C44" s="59">
        <v>0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f t="shared" si="1"/>
        <v>0</v>
      </c>
      <c r="J44" s="59"/>
      <c r="K44" s="59"/>
    </row>
    <row r="45" spans="1:12" hidden="1">
      <c r="A45" s="74" t="s">
        <v>181</v>
      </c>
      <c r="B45" s="75" t="s">
        <v>182</v>
      </c>
      <c r="C45" s="59">
        <v>0</v>
      </c>
      <c r="D45" s="59">
        <v>0</v>
      </c>
      <c r="E45" s="59">
        <v>0</v>
      </c>
      <c r="F45" s="59">
        <v>0</v>
      </c>
      <c r="G45" s="59">
        <v>0</v>
      </c>
      <c r="H45" s="59">
        <v>0</v>
      </c>
      <c r="I45" s="76">
        <f t="shared" si="1"/>
        <v>0</v>
      </c>
      <c r="J45" s="59"/>
      <c r="K45" s="59"/>
    </row>
    <row r="46" spans="1:12" ht="15.75" thickBot="1">
      <c r="A46" s="68" t="s">
        <v>183</v>
      </c>
      <c r="B46" s="66" t="s">
        <v>184</v>
      </c>
      <c r="C46" s="60">
        <v>5663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f t="shared" si="1"/>
        <v>5663</v>
      </c>
      <c r="J46" s="59"/>
      <c r="K46" s="59"/>
    </row>
    <row r="47" spans="1:12" ht="15.75" hidden="1" thickTop="1">
      <c r="A47" s="74" t="s">
        <v>185</v>
      </c>
      <c r="B47" s="75" t="s">
        <v>239</v>
      </c>
      <c r="C47" s="59">
        <v>0</v>
      </c>
      <c r="D47" s="59">
        <v>0</v>
      </c>
      <c r="E47" s="59">
        <v>0</v>
      </c>
      <c r="F47" s="59">
        <v>0</v>
      </c>
      <c r="G47" s="59">
        <v>0</v>
      </c>
      <c r="H47" s="59">
        <v>0</v>
      </c>
      <c r="I47" s="76">
        <f t="shared" si="1"/>
        <v>0</v>
      </c>
      <c r="J47" s="59"/>
    </row>
    <row r="48" spans="1:12" ht="16.5" hidden="1" thickTop="1" thickBot="1">
      <c r="A48" s="68" t="s">
        <v>186</v>
      </c>
      <c r="B48" s="66" t="s">
        <v>187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51">
        <v>0</v>
      </c>
      <c r="I48" s="60">
        <f t="shared" si="1"/>
        <v>0</v>
      </c>
      <c r="J48" s="59"/>
    </row>
    <row r="49" spans="1:11" ht="16.5" thickTop="1">
      <c r="A49" s="157" t="s">
        <v>188</v>
      </c>
      <c r="B49" s="157"/>
      <c r="C49" s="82">
        <f>SUM(C6:C48)</f>
        <v>15870416</v>
      </c>
      <c r="D49" s="62">
        <f t="shared" ref="D49:H49" si="2">SUM(D6:D48)</f>
        <v>840300</v>
      </c>
      <c r="E49" s="62">
        <f t="shared" si="2"/>
        <v>129895</v>
      </c>
      <c r="F49" s="62">
        <f t="shared" si="2"/>
        <v>411754</v>
      </c>
      <c r="G49" s="62">
        <f t="shared" si="2"/>
        <v>656225</v>
      </c>
      <c r="H49" s="62">
        <f t="shared" si="2"/>
        <v>0</v>
      </c>
      <c r="I49" s="52">
        <f>SUM(I6:I48)</f>
        <v>17908590</v>
      </c>
      <c r="J49" s="59">
        <f>+I49-ESF!B23</f>
        <v>0</v>
      </c>
      <c r="K49" s="59"/>
    </row>
    <row r="50" spans="1:11">
      <c r="J50" s="59"/>
      <c r="K50" s="59"/>
    </row>
    <row r="51" spans="1:11">
      <c r="J51" s="59"/>
      <c r="K51" s="59"/>
    </row>
    <row r="52" spans="1:11" ht="15.75">
      <c r="A52" s="158" t="s">
        <v>405</v>
      </c>
      <c r="B52" s="158"/>
      <c r="C52" s="158"/>
      <c r="D52" s="158"/>
      <c r="J52" s="59"/>
      <c r="K52" s="59"/>
    </row>
    <row r="53" spans="1:11" ht="15.75">
      <c r="A53" s="91"/>
      <c r="B53" s="91"/>
      <c r="C53" s="91"/>
      <c r="D53" s="91"/>
      <c r="J53" s="59"/>
      <c r="K53" s="59"/>
    </row>
    <row r="54" spans="1:11" ht="15.75" thickBot="1">
      <c r="A54" s="94" t="s">
        <v>240</v>
      </c>
      <c r="B54" s="92" t="s">
        <v>98</v>
      </c>
      <c r="C54" s="92" t="s">
        <v>189</v>
      </c>
      <c r="J54" s="59"/>
      <c r="K54" s="59"/>
    </row>
    <row r="55" spans="1:11" ht="15.75" thickTop="1">
      <c r="A55" s="67">
        <v>3</v>
      </c>
      <c r="B55" s="65" t="s">
        <v>369</v>
      </c>
      <c r="C55" s="76">
        <v>1737</v>
      </c>
      <c r="J55" s="59"/>
      <c r="K55" s="59"/>
    </row>
    <row r="56" spans="1:11">
      <c r="A56" s="67">
        <v>9</v>
      </c>
      <c r="B56" s="65" t="s">
        <v>375</v>
      </c>
      <c r="C56" s="76">
        <v>768</v>
      </c>
      <c r="J56" s="59"/>
      <c r="K56" s="59"/>
    </row>
    <row r="57" spans="1:11">
      <c r="A57" s="67">
        <v>12</v>
      </c>
      <c r="B57" s="65" t="s">
        <v>376</v>
      </c>
      <c r="C57" s="76">
        <v>525</v>
      </c>
      <c r="J57" s="59"/>
      <c r="K57" s="59"/>
    </row>
    <row r="58" spans="1:11">
      <c r="A58" s="67">
        <v>17</v>
      </c>
      <c r="B58" s="65" t="s">
        <v>330</v>
      </c>
      <c r="C58" s="76">
        <v>1107995</v>
      </c>
      <c r="J58" s="59"/>
      <c r="K58" s="59"/>
    </row>
    <row r="59" spans="1:11">
      <c r="A59" s="67">
        <v>20</v>
      </c>
      <c r="B59" s="65" t="s">
        <v>139</v>
      </c>
      <c r="C59" s="76">
        <v>343</v>
      </c>
      <c r="J59" s="59"/>
      <c r="K59" s="59"/>
    </row>
    <row r="60" spans="1:11">
      <c r="A60" s="67">
        <v>31</v>
      </c>
      <c r="B60" s="65" t="s">
        <v>187</v>
      </c>
      <c r="C60" s="76">
        <v>18901</v>
      </c>
      <c r="J60" s="59"/>
      <c r="K60" s="59"/>
    </row>
    <row r="61" spans="1:11" ht="15.75" thickBot="1">
      <c r="A61" s="68">
        <v>34</v>
      </c>
      <c r="B61" s="66" t="s">
        <v>164</v>
      </c>
      <c r="C61" s="60">
        <v>517</v>
      </c>
      <c r="J61" s="59"/>
      <c r="K61" s="59"/>
    </row>
    <row r="62" spans="1:11" ht="15.75" thickTop="1">
      <c r="A62" s="159" t="s">
        <v>104</v>
      </c>
      <c r="B62" s="159"/>
      <c r="C62" s="52">
        <f>SUBTOTAL(9,C55:C61)</f>
        <v>1130786</v>
      </c>
      <c r="D62" s="50">
        <f>+C62-ESF!B65</f>
        <v>0</v>
      </c>
    </row>
    <row r="63" spans="1:11">
      <c r="A63" s="67"/>
      <c r="B63" s="65"/>
    </row>
    <row r="65" spans="2:9">
      <c r="B65" s="65"/>
      <c r="G65" s="50"/>
      <c r="H65" s="50"/>
    </row>
    <row r="66" spans="2:9">
      <c r="B66" s="81"/>
      <c r="C66" s="52"/>
      <c r="G66" s="50"/>
      <c r="H66" s="50"/>
    </row>
    <row r="67" spans="2:9">
      <c r="B67" s="81"/>
      <c r="C67" s="52"/>
      <c r="G67" s="50"/>
      <c r="H67" s="50"/>
      <c r="I67" s="25"/>
    </row>
    <row r="68" spans="2:9">
      <c r="G68" s="50"/>
      <c r="H68" s="50"/>
    </row>
  </sheetData>
  <autoFilter ref="A5:I61">
    <filterColumn colId="8">
      <filters blank="1">
        <filter val="10.567"/>
        <filter val="15.870.416"/>
        <filter val="2.509.328"/>
        <filter val="398.041"/>
        <filter val="4.276.584"/>
        <filter val="4.903.878"/>
        <filter val="424.104"/>
        <filter val="436.468"/>
        <filter val="5.199"/>
        <filter val="5.663"/>
        <filter val="6.670"/>
        <filter val="786.440"/>
        <filter val="913.351"/>
      </filters>
    </filterColumn>
  </autoFilter>
  <mergeCells count="5">
    <mergeCell ref="A1:I1"/>
    <mergeCell ref="A2:I2"/>
    <mergeCell ref="A49:B49"/>
    <mergeCell ref="A52:D52"/>
    <mergeCell ref="A62:B62"/>
  </mergeCells>
  <phoneticPr fontId="0" type="noConversion"/>
  <pageMargins left="0.35433070866141736" right="0.35433070866141736" top="0.98425196850393704" bottom="0.78740157480314965" header="0" footer="0"/>
  <pageSetup scale="61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view="pageBreakPreview" zoomScaleNormal="100" zoomScaleSheetLayoutView="100" workbookViewId="0">
      <selection activeCell="B15" sqref="B15"/>
    </sheetView>
  </sheetViews>
  <sheetFormatPr baseColWidth="10" defaultColWidth="11.42578125" defaultRowHeight="12.75"/>
  <cols>
    <col min="1" max="1" width="50.5703125" style="105" customWidth="1"/>
    <col min="2" max="2" width="11.85546875" style="105" bestFit="1" customWidth="1"/>
    <col min="3" max="16384" width="11.42578125" style="105"/>
  </cols>
  <sheetData>
    <row r="1" spans="1:4" ht="14.25">
      <c r="A1" s="160" t="s">
        <v>0</v>
      </c>
      <c r="B1" s="160"/>
    </row>
    <row r="2" spans="1:4" ht="14.25">
      <c r="A2" s="160" t="s">
        <v>190</v>
      </c>
      <c r="B2" s="160"/>
    </row>
    <row r="4" spans="1:4" ht="15">
      <c r="A4" s="160" t="s">
        <v>191</v>
      </c>
      <c r="B4" s="160"/>
      <c r="C4" s="106"/>
      <c r="D4" s="107"/>
    </row>
    <row r="5" spans="1:4" ht="15">
      <c r="A5" s="108"/>
      <c r="B5" s="107"/>
      <c r="C5" s="109"/>
      <c r="D5" s="107"/>
    </row>
    <row r="6" spans="1:4">
      <c r="B6" s="108"/>
    </row>
    <row r="7" spans="1:4" ht="13.5" thickBot="1">
      <c r="A7" s="110" t="s">
        <v>238</v>
      </c>
      <c r="B7" s="111">
        <v>108000</v>
      </c>
    </row>
    <row r="8" spans="1:4" ht="13.5" thickTop="1">
      <c r="A8" s="112" t="s">
        <v>192</v>
      </c>
      <c r="B8" s="113">
        <f>SUBTOTAL(9,B6:B7)</f>
        <v>108000</v>
      </c>
      <c r="C8" s="114">
        <f>+B8-ESF!B24</f>
        <v>0</v>
      </c>
    </row>
    <row r="12" spans="1:4" ht="14.25">
      <c r="A12" s="160" t="s">
        <v>193</v>
      </c>
      <c r="B12" s="160"/>
      <c r="C12" s="106"/>
    </row>
    <row r="13" spans="1:4">
      <c r="B13" s="108"/>
      <c r="C13" s="115"/>
    </row>
    <row r="14" spans="1:4">
      <c r="A14" s="65" t="s">
        <v>388</v>
      </c>
      <c r="B14" s="108">
        <v>843948</v>
      </c>
      <c r="C14" s="115"/>
    </row>
    <row r="15" spans="1:4" ht="13.5" thickBot="1">
      <c r="A15" s="66" t="s">
        <v>393</v>
      </c>
      <c r="B15" s="111">
        <v>255960</v>
      </c>
      <c r="C15" s="115"/>
    </row>
    <row r="16" spans="1:4" ht="13.5" thickTop="1">
      <c r="A16" s="116" t="s">
        <v>194</v>
      </c>
      <c r="B16" s="117">
        <f>SUM(B14:B15)</f>
        <v>1099908</v>
      </c>
      <c r="C16" s="114">
        <f>+B16-ESF!B47</f>
        <v>0</v>
      </c>
    </row>
    <row r="17" spans="1:3" ht="15">
      <c r="A17" s="118"/>
      <c r="B17" s="116"/>
      <c r="C17" s="117"/>
    </row>
  </sheetData>
  <mergeCells count="4">
    <mergeCell ref="A1:B1"/>
    <mergeCell ref="A2:B2"/>
    <mergeCell ref="A12:B12"/>
    <mergeCell ref="A4:B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view="pageBreakPreview" topLeftCell="C1" zoomScale="90" zoomScaleNormal="80" zoomScaleSheetLayoutView="90" workbookViewId="0">
      <selection activeCell="D5" sqref="D5:D6"/>
    </sheetView>
  </sheetViews>
  <sheetFormatPr baseColWidth="10" defaultColWidth="11.5703125" defaultRowHeight="15"/>
  <cols>
    <col min="1" max="1" width="5.5703125" style="20" hidden="1" customWidth="1"/>
    <col min="2" max="2" width="9" style="20" hidden="1" customWidth="1"/>
    <col min="3" max="3" width="60.5703125" style="20" bestFit="1" customWidth="1"/>
    <col min="4" max="4" width="18.42578125" style="37" customWidth="1"/>
    <col min="5" max="5" width="18" style="20" customWidth="1"/>
    <col min="6" max="6" width="19.5703125" style="20" bestFit="1" customWidth="1"/>
    <col min="7" max="7" width="16.28515625" style="20" bestFit="1" customWidth="1"/>
    <col min="8" max="8" width="18.140625" style="20" customWidth="1"/>
    <col min="9" max="9" width="34.140625" style="20" customWidth="1"/>
    <col min="10" max="10" width="14.140625" style="20" bestFit="1" customWidth="1"/>
    <col min="11" max="11" width="11.5703125" style="20"/>
    <col min="12" max="12" width="18" style="20" bestFit="1" customWidth="1"/>
    <col min="13" max="16384" width="11.5703125" style="20"/>
  </cols>
  <sheetData>
    <row r="1" spans="1:10" ht="22.5" customHeight="1">
      <c r="A1" s="161" t="s">
        <v>0</v>
      </c>
      <c r="B1" s="161"/>
      <c r="C1" s="161"/>
      <c r="D1" s="161"/>
      <c r="E1" s="161"/>
      <c r="F1" s="161"/>
      <c r="G1" s="161"/>
      <c r="H1" s="161"/>
      <c r="I1" s="161"/>
    </row>
    <row r="2" spans="1:10" ht="22.5" customHeight="1">
      <c r="A2" s="161" t="s">
        <v>259</v>
      </c>
      <c r="B2" s="161"/>
      <c r="C2" s="161"/>
      <c r="D2" s="161"/>
      <c r="E2" s="161"/>
      <c r="F2" s="161"/>
      <c r="G2" s="161"/>
      <c r="H2" s="161"/>
      <c r="I2" s="161"/>
    </row>
    <row r="3" spans="1:10">
      <c r="C3" s="21"/>
      <c r="D3" s="33"/>
      <c r="E3" s="21"/>
      <c r="F3" s="21"/>
      <c r="G3" s="21"/>
      <c r="H3" s="21"/>
    </row>
    <row r="4" spans="1:10" ht="15.75" thickBot="1">
      <c r="C4" s="22"/>
      <c r="D4" s="34"/>
      <c r="E4" s="22"/>
      <c r="F4" s="22"/>
      <c r="G4" s="22"/>
      <c r="H4" s="22"/>
      <c r="I4" s="45">
        <v>12</v>
      </c>
    </row>
    <row r="5" spans="1:10" ht="17.45" customHeight="1" thickTop="1">
      <c r="A5" s="23"/>
      <c r="B5" s="23"/>
      <c r="C5" s="164" t="s">
        <v>195</v>
      </c>
      <c r="D5" s="166" t="s">
        <v>243</v>
      </c>
      <c r="E5" s="162" t="s">
        <v>378</v>
      </c>
      <c r="F5" s="168" t="s">
        <v>241</v>
      </c>
      <c r="G5" s="170" t="s">
        <v>197</v>
      </c>
      <c r="H5" s="170"/>
      <c r="I5" s="162" t="s">
        <v>198</v>
      </c>
    </row>
    <row r="6" spans="1:10" ht="36" customHeight="1" thickBot="1">
      <c r="A6" s="24" t="s">
        <v>199</v>
      </c>
      <c r="B6" s="24" t="s">
        <v>200</v>
      </c>
      <c r="C6" s="165"/>
      <c r="D6" s="167"/>
      <c r="E6" s="163"/>
      <c r="F6" s="169"/>
      <c r="G6" s="93" t="s">
        <v>201</v>
      </c>
      <c r="H6" s="93" t="s">
        <v>202</v>
      </c>
      <c r="I6" s="163"/>
    </row>
    <row r="7" spans="1:10" ht="15.75" thickTop="1">
      <c r="C7" s="7" t="s">
        <v>203</v>
      </c>
      <c r="D7" s="26">
        <v>103743000</v>
      </c>
      <c r="E7" s="26">
        <f>+D7/12*$I$4</f>
        <v>103743000</v>
      </c>
      <c r="F7" s="26">
        <f>SUM(EIR!B19:B31)</f>
        <v>106468126</v>
      </c>
      <c r="G7" s="26">
        <f t="shared" ref="G7:G14" si="0">IF(E7-F7&gt;0,(E7-F7),0)</f>
        <v>0</v>
      </c>
      <c r="H7" s="26">
        <f t="shared" ref="H7:H13" si="1">IF(E7-F7&lt;0,(E7-F7),0)</f>
        <v>-2725126</v>
      </c>
      <c r="I7" s="25"/>
    </row>
    <row r="8" spans="1:10">
      <c r="A8" s="20" t="s">
        <v>204</v>
      </c>
      <c r="B8" s="20" t="s">
        <v>205</v>
      </c>
      <c r="C8" s="7" t="s">
        <v>26</v>
      </c>
      <c r="D8" s="26">
        <f>3600000+684000</f>
        <v>4284000</v>
      </c>
      <c r="E8" s="26">
        <f t="shared" ref="E8:E32" si="2">+D8/12*$I$4</f>
        <v>4284000</v>
      </c>
      <c r="F8" s="57">
        <f>+EIR!B32</f>
        <v>4284000</v>
      </c>
      <c r="G8" s="26">
        <f t="shared" si="0"/>
        <v>0</v>
      </c>
      <c r="H8" s="26">
        <f t="shared" si="1"/>
        <v>0</v>
      </c>
      <c r="I8" s="40"/>
    </row>
    <row r="9" spans="1:10">
      <c r="A9" s="20" t="s">
        <v>204</v>
      </c>
      <c r="B9" s="20" t="s">
        <v>206</v>
      </c>
      <c r="C9" s="7" t="s">
        <v>75</v>
      </c>
      <c r="D9" s="26">
        <v>4962000</v>
      </c>
      <c r="E9" s="26">
        <f t="shared" si="2"/>
        <v>4962000</v>
      </c>
      <c r="F9" s="57">
        <f>+EIR!B33</f>
        <v>4962000</v>
      </c>
      <c r="G9" s="26">
        <f t="shared" si="0"/>
        <v>0</v>
      </c>
      <c r="H9" s="26">
        <f t="shared" si="1"/>
        <v>0</v>
      </c>
      <c r="I9" s="25"/>
    </row>
    <row r="10" spans="1:10">
      <c r="C10" s="7" t="s">
        <v>76</v>
      </c>
      <c r="D10" s="26">
        <v>343000</v>
      </c>
      <c r="E10" s="26">
        <f t="shared" si="2"/>
        <v>343000</v>
      </c>
      <c r="F10" s="57">
        <f>+EIR!B34</f>
        <v>343000</v>
      </c>
      <c r="G10" s="26">
        <f>IF(E10-F10&gt;0,(E10-F10),0)</f>
        <v>0</v>
      </c>
      <c r="H10" s="26">
        <f>IF(E10-F10&lt;0,(E10-F10),0)</f>
        <v>0</v>
      </c>
      <c r="I10" s="25"/>
      <c r="J10" s="77"/>
    </row>
    <row r="11" spans="1:10">
      <c r="C11" s="61" t="s">
        <v>207</v>
      </c>
      <c r="D11" s="26">
        <v>3362000</v>
      </c>
      <c r="E11" s="26">
        <f t="shared" si="2"/>
        <v>3362000</v>
      </c>
      <c r="F11" s="57">
        <f>+EIR!B35</f>
        <v>0</v>
      </c>
      <c r="G11" s="26">
        <f t="shared" si="0"/>
        <v>3362000</v>
      </c>
      <c r="H11" s="26">
        <f t="shared" si="1"/>
        <v>0</v>
      </c>
      <c r="I11" s="25"/>
    </row>
    <row r="12" spans="1:10">
      <c r="A12" s="20" t="s">
        <v>204</v>
      </c>
      <c r="B12" s="20" t="s">
        <v>208</v>
      </c>
      <c r="C12" s="7" t="s">
        <v>77</v>
      </c>
      <c r="D12" s="26">
        <v>712000</v>
      </c>
      <c r="E12" s="26">
        <f t="shared" si="2"/>
        <v>712000</v>
      </c>
      <c r="F12" s="57">
        <f>+EIR!B36</f>
        <v>679415</v>
      </c>
      <c r="G12" s="26">
        <f t="shared" si="0"/>
        <v>32585</v>
      </c>
      <c r="H12" s="26">
        <f t="shared" si="1"/>
        <v>0</v>
      </c>
      <c r="I12" s="40"/>
    </row>
    <row r="13" spans="1:10">
      <c r="A13" s="20" t="s">
        <v>204</v>
      </c>
      <c r="B13" s="20" t="s">
        <v>209</v>
      </c>
      <c r="C13" s="56" t="s">
        <v>78</v>
      </c>
      <c r="D13" s="26">
        <v>471000</v>
      </c>
      <c r="E13" s="26">
        <f t="shared" si="2"/>
        <v>471000</v>
      </c>
      <c r="F13" s="57">
        <f>+EIR!B37</f>
        <v>450000</v>
      </c>
      <c r="G13" s="26">
        <f t="shared" si="0"/>
        <v>21000</v>
      </c>
      <c r="H13" s="26">
        <f t="shared" si="1"/>
        <v>0</v>
      </c>
      <c r="I13" s="25"/>
    </row>
    <row r="14" spans="1:10">
      <c r="C14" s="7" t="s">
        <v>79</v>
      </c>
      <c r="D14" s="26">
        <v>17835000</v>
      </c>
      <c r="E14" s="26">
        <f t="shared" si="2"/>
        <v>17835000</v>
      </c>
      <c r="F14" s="57">
        <f>+EIR!B38</f>
        <v>13351828</v>
      </c>
      <c r="G14" s="26">
        <f t="shared" si="0"/>
        <v>4483172</v>
      </c>
      <c r="H14" s="26">
        <f t="shared" ref="H14:H32" si="3">IF(E14-F14&lt;0,(E14-F14),0)</f>
        <v>0</v>
      </c>
      <c r="I14" s="25"/>
    </row>
    <row r="15" spans="1:10">
      <c r="C15" s="7" t="s">
        <v>80</v>
      </c>
      <c r="D15" s="26">
        <v>951000</v>
      </c>
      <c r="E15" s="26">
        <f t="shared" si="2"/>
        <v>951000</v>
      </c>
      <c r="F15" s="57">
        <f>+EIR!B39</f>
        <v>210622</v>
      </c>
      <c r="G15" s="26">
        <f t="shared" ref="G15:G32" si="4">IF(E15-F15&gt;0,(E15-F15),0)</f>
        <v>740378</v>
      </c>
      <c r="H15" s="26">
        <f t="shared" si="3"/>
        <v>0</v>
      </c>
      <c r="I15" s="25"/>
    </row>
    <row r="16" spans="1:10">
      <c r="A16" s="20" t="s">
        <v>204</v>
      </c>
      <c r="B16" s="20" t="s">
        <v>210</v>
      </c>
      <c r="C16" s="7" t="s">
        <v>81</v>
      </c>
      <c r="D16" s="26">
        <v>163000</v>
      </c>
      <c r="E16" s="26">
        <f t="shared" si="2"/>
        <v>163000</v>
      </c>
      <c r="F16" s="57">
        <f>+EIR!B40</f>
        <v>45000</v>
      </c>
      <c r="G16" s="26">
        <f t="shared" si="4"/>
        <v>118000</v>
      </c>
      <c r="H16" s="26">
        <f t="shared" si="3"/>
        <v>0</v>
      </c>
      <c r="I16" s="73"/>
    </row>
    <row r="17" spans="1:9">
      <c r="A17" s="20" t="s">
        <v>204</v>
      </c>
      <c r="B17" s="20" t="s">
        <v>211</v>
      </c>
      <c r="C17" s="7" t="s">
        <v>82</v>
      </c>
      <c r="D17" s="26">
        <v>15676000</v>
      </c>
      <c r="E17" s="26">
        <f t="shared" si="2"/>
        <v>15676000</v>
      </c>
      <c r="F17" s="57">
        <f>+EIR!B41</f>
        <v>15675996</v>
      </c>
      <c r="G17" s="26">
        <f t="shared" si="4"/>
        <v>4</v>
      </c>
      <c r="H17" s="26">
        <f t="shared" si="3"/>
        <v>0</v>
      </c>
      <c r="I17" s="25"/>
    </row>
    <row r="18" spans="1:9">
      <c r="A18" s="20" t="s">
        <v>204</v>
      </c>
      <c r="B18" s="20" t="s">
        <v>212</v>
      </c>
      <c r="C18" s="7" t="s">
        <v>83</v>
      </c>
      <c r="D18" s="26">
        <v>1145000</v>
      </c>
      <c r="E18" s="26">
        <f t="shared" si="2"/>
        <v>1145000</v>
      </c>
      <c r="F18" s="57">
        <f>+EIR!B42</f>
        <v>975200</v>
      </c>
      <c r="G18" s="26">
        <f t="shared" si="4"/>
        <v>169800</v>
      </c>
      <c r="H18" s="26">
        <f t="shared" si="3"/>
        <v>0</v>
      </c>
      <c r="I18" s="73"/>
    </row>
    <row r="19" spans="1:9" ht="42.75" customHeight="1">
      <c r="A19" s="20" t="s">
        <v>204</v>
      </c>
      <c r="B19" s="20" t="s">
        <v>213</v>
      </c>
      <c r="C19" s="46" t="s">
        <v>214</v>
      </c>
      <c r="D19" s="26">
        <v>4900000</v>
      </c>
      <c r="E19" s="26">
        <f t="shared" si="2"/>
        <v>4900000</v>
      </c>
      <c r="F19" s="57">
        <f>+EIR!B43</f>
        <v>6708668</v>
      </c>
      <c r="G19" s="26">
        <f t="shared" si="4"/>
        <v>0</v>
      </c>
      <c r="H19" s="26">
        <f t="shared" si="3"/>
        <v>-1808668</v>
      </c>
      <c r="I19" s="73" t="s">
        <v>391</v>
      </c>
    </row>
    <row r="20" spans="1:9" ht="42.75" customHeight="1">
      <c r="C20" s="56" t="s">
        <v>85</v>
      </c>
      <c r="D20" s="26">
        <v>7564000</v>
      </c>
      <c r="E20" s="26">
        <f t="shared" si="2"/>
        <v>7564000</v>
      </c>
      <c r="F20" s="57">
        <f>+EIR!B44</f>
        <v>18339033</v>
      </c>
      <c r="G20" s="26">
        <f t="shared" si="4"/>
        <v>0</v>
      </c>
      <c r="H20" s="26">
        <f t="shared" si="3"/>
        <v>-10775033</v>
      </c>
      <c r="I20" s="148" t="s">
        <v>390</v>
      </c>
    </row>
    <row r="21" spans="1:9">
      <c r="A21" s="20" t="s">
        <v>204</v>
      </c>
      <c r="B21" s="20" t="s">
        <v>215</v>
      </c>
      <c r="C21" s="7" t="s">
        <v>216</v>
      </c>
      <c r="D21" s="26">
        <v>2844000</v>
      </c>
      <c r="E21" s="26">
        <f t="shared" si="2"/>
        <v>2844000</v>
      </c>
      <c r="F21" s="57">
        <f>+EIR!B45</f>
        <v>2068000</v>
      </c>
      <c r="G21" s="26">
        <f t="shared" si="4"/>
        <v>776000</v>
      </c>
      <c r="H21" s="26">
        <f t="shared" si="3"/>
        <v>0</v>
      </c>
      <c r="I21" s="73"/>
    </row>
    <row r="22" spans="1:9" ht="25.5">
      <c r="C22" s="7" t="s">
        <v>87</v>
      </c>
      <c r="D22" s="26">
        <v>308000</v>
      </c>
      <c r="E22" s="26">
        <f t="shared" si="2"/>
        <v>308000</v>
      </c>
      <c r="F22" s="57">
        <f>+EIR!B46</f>
        <v>5492250</v>
      </c>
      <c r="G22" s="26">
        <f t="shared" si="4"/>
        <v>0</v>
      </c>
      <c r="H22" s="26">
        <f t="shared" si="3"/>
        <v>-5184250</v>
      </c>
      <c r="I22" s="73" t="s">
        <v>292</v>
      </c>
    </row>
    <row r="23" spans="1:9">
      <c r="C23" s="7" t="s">
        <v>217</v>
      </c>
      <c r="D23" s="26">
        <v>1560000</v>
      </c>
      <c r="E23" s="26">
        <f t="shared" si="2"/>
        <v>1560000</v>
      </c>
      <c r="F23" s="57">
        <f>+EIR!B47</f>
        <v>1092000</v>
      </c>
      <c r="G23" s="26">
        <f t="shared" si="4"/>
        <v>468000</v>
      </c>
      <c r="H23" s="26">
        <f t="shared" si="3"/>
        <v>0</v>
      </c>
      <c r="I23" s="73"/>
    </row>
    <row r="24" spans="1:9" s="37" customFormat="1">
      <c r="A24" s="37" t="s">
        <v>204</v>
      </c>
      <c r="B24" s="37" t="s">
        <v>218</v>
      </c>
      <c r="C24" s="38" t="s">
        <v>88</v>
      </c>
      <c r="D24" s="26">
        <v>400000</v>
      </c>
      <c r="E24" s="26">
        <f t="shared" si="2"/>
        <v>400000</v>
      </c>
      <c r="F24" s="57">
        <f>+EIR!B48</f>
        <v>61100</v>
      </c>
      <c r="G24" s="26">
        <f t="shared" si="4"/>
        <v>338900</v>
      </c>
      <c r="H24" s="26">
        <f t="shared" si="3"/>
        <v>0</v>
      </c>
      <c r="I24" s="73"/>
    </row>
    <row r="25" spans="1:9">
      <c r="C25" s="43" t="s">
        <v>89</v>
      </c>
      <c r="D25" s="26">
        <v>306000</v>
      </c>
      <c r="E25" s="26">
        <f t="shared" si="2"/>
        <v>306000</v>
      </c>
      <c r="F25" s="57">
        <f>+EIR!B49</f>
        <v>0</v>
      </c>
      <c r="G25" s="25">
        <f t="shared" si="4"/>
        <v>306000</v>
      </c>
      <c r="H25" s="25">
        <f t="shared" si="3"/>
        <v>0</v>
      </c>
      <c r="I25" s="25"/>
    </row>
    <row r="26" spans="1:9" ht="25.5">
      <c r="C26" s="7" t="s">
        <v>90</v>
      </c>
      <c r="D26" s="26">
        <v>304000</v>
      </c>
      <c r="E26" s="26">
        <f t="shared" si="2"/>
        <v>304000</v>
      </c>
      <c r="F26" s="57">
        <f>+EIR!B50</f>
        <v>1379408</v>
      </c>
      <c r="G26" s="25">
        <f t="shared" si="4"/>
        <v>0</v>
      </c>
      <c r="H26" s="25">
        <f t="shared" si="3"/>
        <v>-1075408</v>
      </c>
      <c r="I26" s="73" t="s">
        <v>293</v>
      </c>
    </row>
    <row r="27" spans="1:9">
      <c r="A27" s="20" t="s">
        <v>204</v>
      </c>
      <c r="B27" s="20" t="s">
        <v>219</v>
      </c>
      <c r="C27" s="7" t="s">
        <v>91</v>
      </c>
      <c r="D27" s="26">
        <v>718000</v>
      </c>
      <c r="E27" s="26">
        <f t="shared" si="2"/>
        <v>718000</v>
      </c>
      <c r="F27" s="57">
        <f>+EIR!B51</f>
        <v>513396</v>
      </c>
      <c r="G27" s="25">
        <f t="shared" si="4"/>
        <v>204604</v>
      </c>
      <c r="H27" s="25">
        <f t="shared" si="3"/>
        <v>0</v>
      </c>
      <c r="I27" s="73"/>
    </row>
    <row r="28" spans="1:9">
      <c r="A28" s="20" t="s">
        <v>204</v>
      </c>
      <c r="B28" s="20" t="s">
        <v>220</v>
      </c>
      <c r="C28" s="7" t="s">
        <v>92</v>
      </c>
      <c r="D28" s="26">
        <v>73000</v>
      </c>
      <c r="E28" s="26">
        <f t="shared" si="2"/>
        <v>73000</v>
      </c>
      <c r="F28" s="57">
        <f>+EIR!B52</f>
        <v>0</v>
      </c>
      <c r="G28" s="25">
        <f t="shared" si="4"/>
        <v>73000</v>
      </c>
      <c r="H28" s="25">
        <f t="shared" si="3"/>
        <v>0</v>
      </c>
      <c r="I28" s="40"/>
    </row>
    <row r="29" spans="1:9">
      <c r="A29" s="20" t="s">
        <v>204</v>
      </c>
      <c r="B29" s="20" t="s">
        <v>221</v>
      </c>
      <c r="C29" s="7" t="s">
        <v>93</v>
      </c>
      <c r="D29" s="26">
        <v>187000</v>
      </c>
      <c r="E29" s="26">
        <f t="shared" si="2"/>
        <v>187000</v>
      </c>
      <c r="F29" s="57">
        <f>+EIR!B53</f>
        <v>136850</v>
      </c>
      <c r="G29" s="25">
        <f t="shared" si="4"/>
        <v>50150</v>
      </c>
      <c r="H29" s="25">
        <f t="shared" si="3"/>
        <v>0</v>
      </c>
      <c r="I29" s="25"/>
    </row>
    <row r="30" spans="1:9">
      <c r="C30" s="7" t="s">
        <v>94</v>
      </c>
      <c r="D30" s="26">
        <v>2425000</v>
      </c>
      <c r="E30" s="26">
        <f t="shared" si="2"/>
        <v>2425000</v>
      </c>
      <c r="F30" s="57">
        <f>+EIR!B54</f>
        <v>2754129.99</v>
      </c>
      <c r="G30" s="25">
        <f t="shared" si="4"/>
        <v>0</v>
      </c>
      <c r="H30" s="25">
        <f t="shared" si="3"/>
        <v>-329129.99000000022</v>
      </c>
      <c r="I30" s="40"/>
    </row>
    <row r="31" spans="1:9">
      <c r="C31" s="7" t="s">
        <v>261</v>
      </c>
      <c r="D31" s="26">
        <v>20177000</v>
      </c>
      <c r="E31" s="26">
        <f t="shared" si="2"/>
        <v>20177000</v>
      </c>
      <c r="F31" s="57">
        <f>+EIR!B55</f>
        <v>0</v>
      </c>
      <c r="G31" s="25">
        <f t="shared" ref="G31" si="5">IF(E31-F31&gt;0,(E31-F31),0)</f>
        <v>20177000</v>
      </c>
      <c r="H31" s="25">
        <f t="shared" ref="H31" si="6">IF(E31-F31&lt;0,(E31-F31),0)</f>
        <v>0</v>
      </c>
      <c r="I31" s="40"/>
    </row>
    <row r="32" spans="1:9" ht="26.25" thickBot="1">
      <c r="C32" s="9" t="s">
        <v>95</v>
      </c>
      <c r="D32" s="35">
        <v>1658000</v>
      </c>
      <c r="E32" s="35">
        <f t="shared" si="2"/>
        <v>1658000</v>
      </c>
      <c r="F32" s="58">
        <f>+EIR!B56</f>
        <v>4222176</v>
      </c>
      <c r="G32" s="27">
        <f t="shared" si="4"/>
        <v>0</v>
      </c>
      <c r="H32" s="27">
        <f t="shared" si="3"/>
        <v>-2564176</v>
      </c>
      <c r="I32" s="83" t="s">
        <v>389</v>
      </c>
    </row>
    <row r="33" spans="3:9" ht="16.5" thickTop="1">
      <c r="C33" s="28" t="s">
        <v>222</v>
      </c>
      <c r="D33" s="32">
        <f>SUM(D7:D32)</f>
        <v>197071000</v>
      </c>
      <c r="E33" s="32">
        <f>SUM(E7:E32)</f>
        <v>197071000</v>
      </c>
      <c r="F33" s="32">
        <f>SUM(F7:F32)</f>
        <v>190212197.99000001</v>
      </c>
      <c r="G33" s="32">
        <f>SUM(G7:G32)</f>
        <v>31320593</v>
      </c>
      <c r="H33" s="32">
        <f>SUM(H7:H32)</f>
        <v>-24461790.990000002</v>
      </c>
      <c r="I33" s="32">
        <f>SUM(I8:I32)</f>
        <v>0</v>
      </c>
    </row>
    <row r="34" spans="3:9" s="1" customFormat="1" ht="15.75">
      <c r="C34" s="20"/>
      <c r="D34" s="26"/>
      <c r="E34" s="20"/>
      <c r="F34" s="30"/>
      <c r="G34" s="31"/>
      <c r="H34" s="32"/>
      <c r="I34" s="29"/>
    </row>
    <row r="35" spans="3:9" ht="15.75">
      <c r="C35" s="1" t="s">
        <v>223</v>
      </c>
      <c r="D35" s="69">
        <f>+F33/E33</f>
        <v>0.96519628961135839</v>
      </c>
      <c r="E35" s="25"/>
      <c r="F35" s="20">
        <f>+F33-EIR!B57</f>
        <v>0</v>
      </c>
      <c r="G35" s="30"/>
      <c r="H35" s="30"/>
    </row>
    <row r="36" spans="3:9">
      <c r="D36" s="26"/>
      <c r="G36" s="30"/>
      <c r="H36" s="5"/>
    </row>
    <row r="37" spans="3:9">
      <c r="D37" s="36"/>
    </row>
    <row r="38" spans="3:9">
      <c r="D38" s="26"/>
    </row>
    <row r="39" spans="3:9">
      <c r="D39" s="26"/>
    </row>
    <row r="40" spans="3:9">
      <c r="D40" s="26"/>
    </row>
    <row r="41" spans="3:9">
      <c r="D41" s="26"/>
    </row>
    <row r="42" spans="3:9">
      <c r="D42" s="26"/>
    </row>
    <row r="43" spans="3:9">
      <c r="D43" s="26"/>
    </row>
    <row r="44" spans="3:9">
      <c r="D44" s="26"/>
    </row>
    <row r="45" spans="3:9">
      <c r="D45" s="26"/>
    </row>
    <row r="46" spans="3:9">
      <c r="D46" s="26"/>
    </row>
    <row r="47" spans="3:9">
      <c r="D47" s="26"/>
    </row>
    <row r="48" spans="3:9">
      <c r="D48" s="26"/>
    </row>
    <row r="49" spans="4:4">
      <c r="D49" s="26"/>
    </row>
    <row r="50" spans="4:4">
      <c r="D50" s="26"/>
    </row>
    <row r="51" spans="4:4">
      <c r="D51" s="26"/>
    </row>
    <row r="52" spans="4:4">
      <c r="D52" s="26"/>
    </row>
    <row r="53" spans="4:4">
      <c r="D53" s="26"/>
    </row>
    <row r="54" spans="4:4">
      <c r="D54" s="26"/>
    </row>
    <row r="55" spans="4:4">
      <c r="D55" s="26"/>
    </row>
  </sheetData>
  <mergeCells count="8">
    <mergeCell ref="A1:I1"/>
    <mergeCell ref="A2:I2"/>
    <mergeCell ref="I5:I6"/>
    <mergeCell ref="E5:E6"/>
    <mergeCell ref="C5:C6"/>
    <mergeCell ref="D5:D6"/>
    <mergeCell ref="F5:F6"/>
    <mergeCell ref="G5:H5"/>
  </mergeCells>
  <phoneticPr fontId="0" type="noConversion"/>
  <pageMargins left="0.47244094488188981" right="0.51181102362204722" top="0.23622047244094491" bottom="0.23622047244094491" header="0" footer="0.23622047244094491"/>
  <pageSetup scale="65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BreakPreview" topLeftCell="C1" zoomScale="90" zoomScaleNormal="80" zoomScaleSheetLayoutView="90" workbookViewId="0">
      <selection activeCell="C5" sqref="C5:C6"/>
    </sheetView>
  </sheetViews>
  <sheetFormatPr baseColWidth="10" defaultColWidth="11.5703125" defaultRowHeight="15"/>
  <cols>
    <col min="1" max="1" width="5.5703125" style="20" hidden="1" customWidth="1"/>
    <col min="2" max="2" width="9" style="20" hidden="1" customWidth="1"/>
    <col min="3" max="3" width="60.5703125" style="20" bestFit="1" customWidth="1"/>
    <col min="4" max="4" width="18" style="20" customWidth="1"/>
    <col min="5" max="6" width="19.5703125" style="20" customWidth="1"/>
    <col min="7" max="7" width="17.42578125" style="20" customWidth="1"/>
    <col min="8" max="8" width="16.140625" style="20" bestFit="1" customWidth="1"/>
    <col min="9" max="9" width="34.140625" style="20" customWidth="1"/>
    <col min="10" max="11" width="14.140625" style="20" bestFit="1" customWidth="1"/>
    <col min="12" max="12" width="18" style="20" bestFit="1" customWidth="1"/>
    <col min="13" max="16384" width="11.5703125" style="20"/>
  </cols>
  <sheetData>
    <row r="1" spans="1:10" ht="22.5" customHeight="1">
      <c r="A1" s="161" t="s">
        <v>0</v>
      </c>
      <c r="B1" s="161"/>
      <c r="C1" s="161"/>
      <c r="D1" s="161"/>
      <c r="E1" s="161"/>
      <c r="F1" s="161"/>
      <c r="G1" s="161"/>
      <c r="H1" s="161"/>
      <c r="I1" s="161"/>
    </row>
    <row r="2" spans="1:10" ht="22.5" customHeight="1">
      <c r="A2" s="161" t="s">
        <v>397</v>
      </c>
      <c r="B2" s="161"/>
      <c r="C2" s="161"/>
      <c r="D2" s="161"/>
      <c r="E2" s="161"/>
      <c r="F2" s="161"/>
      <c r="G2" s="161"/>
      <c r="H2" s="161"/>
      <c r="I2" s="161"/>
    </row>
    <row r="3" spans="1:10">
      <c r="C3" s="21"/>
      <c r="D3" s="21"/>
      <c r="E3" s="21"/>
      <c r="F3" s="21"/>
      <c r="G3" s="21"/>
      <c r="H3" s="21"/>
    </row>
    <row r="4" spans="1:10" ht="15.75" thickBot="1">
      <c r="C4" s="22"/>
      <c r="D4" s="22"/>
      <c r="E4" s="22"/>
      <c r="F4" s="22"/>
      <c r="G4" s="22"/>
      <c r="H4" s="22"/>
      <c r="I4" s="45">
        <v>12</v>
      </c>
    </row>
    <row r="5" spans="1:10" ht="17.45" customHeight="1" thickTop="1">
      <c r="A5" s="23"/>
      <c r="B5" s="23"/>
      <c r="C5" s="164" t="s">
        <v>195</v>
      </c>
      <c r="D5" s="173" t="s">
        <v>394</v>
      </c>
      <c r="E5" s="168" t="s">
        <v>395</v>
      </c>
      <c r="F5" s="173" t="s">
        <v>396</v>
      </c>
      <c r="G5" s="171" t="s">
        <v>244</v>
      </c>
      <c r="H5" s="171" t="s">
        <v>245</v>
      </c>
      <c r="I5" s="162" t="s">
        <v>198</v>
      </c>
    </row>
    <row r="6" spans="1:10" ht="36" customHeight="1" thickBot="1">
      <c r="A6" s="24" t="s">
        <v>199</v>
      </c>
      <c r="B6" s="24" t="s">
        <v>200</v>
      </c>
      <c r="C6" s="165"/>
      <c r="D6" s="163"/>
      <c r="E6" s="169"/>
      <c r="F6" s="163"/>
      <c r="G6" s="172"/>
      <c r="H6" s="172"/>
      <c r="I6" s="163"/>
    </row>
    <row r="7" spans="1:10" ht="15.75" thickTop="1">
      <c r="C7" s="7" t="s">
        <v>203</v>
      </c>
      <c r="D7" s="26">
        <v>103743000</v>
      </c>
      <c r="E7" s="26">
        <f>SUM(EIR!B19:B31)</f>
        <v>106468126</v>
      </c>
      <c r="F7" s="26">
        <f>+E7*1.059</f>
        <v>112749745.434</v>
      </c>
      <c r="G7" s="26">
        <f>+F7-D7</f>
        <v>9006745.4340000004</v>
      </c>
      <c r="H7" s="95">
        <f>+G7/D7</f>
        <v>8.6817861773806432E-2</v>
      </c>
      <c r="I7" s="25"/>
    </row>
    <row r="8" spans="1:10">
      <c r="A8" s="20" t="s">
        <v>204</v>
      </c>
      <c r="B8" s="20" t="s">
        <v>205</v>
      </c>
      <c r="C8" s="7" t="s">
        <v>26</v>
      </c>
      <c r="D8" s="26">
        <v>4284000</v>
      </c>
      <c r="E8" s="57">
        <f>+EIR!B32</f>
        <v>4284000</v>
      </c>
      <c r="F8" s="26">
        <f t="shared" ref="F8:F10" si="0">+E8*1.059</f>
        <v>4536756</v>
      </c>
      <c r="G8" s="26">
        <f t="shared" ref="G8:G32" si="1">+F8-D8</f>
        <v>252756</v>
      </c>
      <c r="H8" s="95">
        <f t="shared" ref="H8:H33" si="2">+G8/D8</f>
        <v>5.8999999999999997E-2</v>
      </c>
      <c r="I8" s="40"/>
    </row>
    <row r="9" spans="1:10">
      <c r="A9" s="20" t="s">
        <v>204</v>
      </c>
      <c r="B9" s="20" t="s">
        <v>206</v>
      </c>
      <c r="C9" s="7" t="s">
        <v>75</v>
      </c>
      <c r="D9" s="26">
        <v>4962000</v>
      </c>
      <c r="E9" s="57">
        <f>+EIR!B33</f>
        <v>4962000</v>
      </c>
      <c r="F9" s="26">
        <f t="shared" si="0"/>
        <v>5254758</v>
      </c>
      <c r="G9" s="26">
        <f t="shared" si="1"/>
        <v>292758</v>
      </c>
      <c r="H9" s="95">
        <f t="shared" si="2"/>
        <v>5.8999999999999997E-2</v>
      </c>
      <c r="I9" s="25"/>
    </row>
    <row r="10" spans="1:10">
      <c r="C10" s="7" t="s">
        <v>76</v>
      </c>
      <c r="D10" s="26">
        <v>343000</v>
      </c>
      <c r="E10" s="57">
        <f>+EIR!B34</f>
        <v>343000</v>
      </c>
      <c r="F10" s="26">
        <f t="shared" si="0"/>
        <v>363237</v>
      </c>
      <c r="G10" s="26">
        <f t="shared" si="1"/>
        <v>20237</v>
      </c>
      <c r="H10" s="95">
        <f t="shared" si="2"/>
        <v>5.8999999999999997E-2</v>
      </c>
      <c r="I10" s="25"/>
      <c r="J10" s="77"/>
    </row>
    <row r="11" spans="1:10" ht="25.5">
      <c r="C11" s="61" t="s">
        <v>207</v>
      </c>
      <c r="D11" s="26">
        <v>3362000</v>
      </c>
      <c r="E11" s="57">
        <f>+EIR!B35</f>
        <v>0</v>
      </c>
      <c r="F11" s="57">
        <v>3362000</v>
      </c>
      <c r="G11" s="26">
        <f t="shared" si="1"/>
        <v>0</v>
      </c>
      <c r="H11" s="95">
        <f t="shared" si="2"/>
        <v>0</v>
      </c>
      <c r="I11" s="73" t="s">
        <v>401</v>
      </c>
    </row>
    <row r="12" spans="1:10">
      <c r="A12" s="20" t="s">
        <v>204</v>
      </c>
      <c r="B12" s="20" t="s">
        <v>208</v>
      </c>
      <c r="C12" s="7" t="s">
        <v>77</v>
      </c>
      <c r="D12" s="26">
        <v>712000</v>
      </c>
      <c r="E12" s="57">
        <f>+EIR!B36</f>
        <v>679415</v>
      </c>
      <c r="F12" s="57">
        <f>+E12*1.06</f>
        <v>720179.9</v>
      </c>
      <c r="G12" s="26">
        <f t="shared" si="1"/>
        <v>8179.9000000000233</v>
      </c>
      <c r="H12" s="95">
        <f t="shared" si="2"/>
        <v>1.148862359550565E-2</v>
      </c>
      <c r="I12" s="40"/>
    </row>
    <row r="13" spans="1:10">
      <c r="A13" s="20" t="s">
        <v>204</v>
      </c>
      <c r="B13" s="20" t="s">
        <v>209</v>
      </c>
      <c r="C13" s="56" t="s">
        <v>78</v>
      </c>
      <c r="D13" s="26">
        <v>471000</v>
      </c>
      <c r="E13" s="57">
        <f>+EIR!B37</f>
        <v>450000</v>
      </c>
      <c r="F13" s="57">
        <f>+E13*1.1</f>
        <v>495000.00000000006</v>
      </c>
      <c r="G13" s="26">
        <f t="shared" si="1"/>
        <v>24000.000000000058</v>
      </c>
      <c r="H13" s="95">
        <f t="shared" si="2"/>
        <v>5.0955414012738974E-2</v>
      </c>
      <c r="I13" s="25"/>
    </row>
    <row r="14" spans="1:10">
      <c r="C14" s="7" t="s">
        <v>79</v>
      </c>
      <c r="D14" s="26">
        <v>17835000</v>
      </c>
      <c r="E14" s="57">
        <f>+EIR!B38</f>
        <v>13351828</v>
      </c>
      <c r="F14" s="57">
        <f>+E14*1.15</f>
        <v>15354602.199999999</v>
      </c>
      <c r="G14" s="26">
        <f t="shared" si="1"/>
        <v>-2480397.8000000007</v>
      </c>
      <c r="H14" s="95">
        <f t="shared" si="2"/>
        <v>-0.13907472946453606</v>
      </c>
      <c r="I14" s="25"/>
    </row>
    <row r="15" spans="1:10">
      <c r="C15" s="7" t="s">
        <v>80</v>
      </c>
      <c r="D15" s="26">
        <v>951000</v>
      </c>
      <c r="E15" s="57">
        <f>+EIR!B39</f>
        <v>210622</v>
      </c>
      <c r="F15" s="57">
        <f>+E15*1.06</f>
        <v>223259.32</v>
      </c>
      <c r="G15" s="26">
        <f t="shared" si="1"/>
        <v>-727740.67999999993</v>
      </c>
      <c r="H15" s="95">
        <f t="shared" si="2"/>
        <v>-0.76523730809674018</v>
      </c>
      <c r="I15" s="25"/>
    </row>
    <row r="16" spans="1:10">
      <c r="A16" s="20" t="s">
        <v>204</v>
      </c>
      <c r="B16" s="20" t="s">
        <v>210</v>
      </c>
      <c r="C16" s="7" t="s">
        <v>81</v>
      </c>
      <c r="D16" s="26">
        <v>163000</v>
      </c>
      <c r="E16" s="57">
        <f>+EIR!B40</f>
        <v>45000</v>
      </c>
      <c r="F16" s="57">
        <v>163000</v>
      </c>
      <c r="G16" s="26">
        <f t="shared" si="1"/>
        <v>0</v>
      </c>
      <c r="H16" s="95">
        <f t="shared" si="2"/>
        <v>0</v>
      </c>
      <c r="I16" s="73"/>
    </row>
    <row r="17" spans="1:9">
      <c r="A17" s="20" t="s">
        <v>204</v>
      </c>
      <c r="B17" s="20" t="s">
        <v>211</v>
      </c>
      <c r="C17" s="7" t="s">
        <v>82</v>
      </c>
      <c r="D17" s="26">
        <v>15676000</v>
      </c>
      <c r="E17" s="57">
        <f>+EIR!B41</f>
        <v>15675996</v>
      </c>
      <c r="F17" s="57">
        <f>+E17*1.059</f>
        <v>16600879.763999999</v>
      </c>
      <c r="G17" s="26">
        <f t="shared" si="1"/>
        <v>924879.76399999857</v>
      </c>
      <c r="H17" s="95">
        <f t="shared" si="2"/>
        <v>5.8999729778004502E-2</v>
      </c>
      <c r="I17" s="25"/>
    </row>
    <row r="18" spans="1:9">
      <c r="A18" s="20" t="s">
        <v>204</v>
      </c>
      <c r="B18" s="20" t="s">
        <v>212</v>
      </c>
      <c r="C18" s="7" t="s">
        <v>83</v>
      </c>
      <c r="D18" s="26">
        <v>1145000</v>
      </c>
      <c r="E18" s="57">
        <f>+EIR!B42</f>
        <v>975200</v>
      </c>
      <c r="F18" s="57">
        <v>1145000</v>
      </c>
      <c r="G18" s="26">
        <f t="shared" si="1"/>
        <v>0</v>
      </c>
      <c r="H18" s="95">
        <f t="shared" si="2"/>
        <v>0</v>
      </c>
      <c r="I18" s="73"/>
    </row>
    <row r="19" spans="1:9">
      <c r="A19" s="20" t="s">
        <v>204</v>
      </c>
      <c r="B19" s="20" t="s">
        <v>213</v>
      </c>
      <c r="C19" s="46" t="s">
        <v>214</v>
      </c>
      <c r="D19" s="26">
        <v>4900000</v>
      </c>
      <c r="E19" s="57">
        <f>+EIR!B43</f>
        <v>6708668</v>
      </c>
      <c r="F19" s="57">
        <v>5500000</v>
      </c>
      <c r="G19" s="26">
        <f t="shared" si="1"/>
        <v>600000</v>
      </c>
      <c r="H19" s="95">
        <f t="shared" si="2"/>
        <v>0.12244897959183673</v>
      </c>
      <c r="I19" s="73"/>
    </row>
    <row r="20" spans="1:9">
      <c r="C20" s="56" t="s">
        <v>85</v>
      </c>
      <c r="D20" s="26">
        <v>7564000</v>
      </c>
      <c r="E20" s="57">
        <f>+EIR!B44</f>
        <v>18339033</v>
      </c>
      <c r="F20" s="57">
        <v>7564000</v>
      </c>
      <c r="G20" s="26">
        <f t="shared" si="1"/>
        <v>0</v>
      </c>
      <c r="H20" s="95">
        <f t="shared" si="2"/>
        <v>0</v>
      </c>
      <c r="I20" s="148"/>
    </row>
    <row r="21" spans="1:9">
      <c r="A21" s="20" t="s">
        <v>204</v>
      </c>
      <c r="B21" s="20" t="s">
        <v>215</v>
      </c>
      <c r="C21" s="7" t="s">
        <v>216</v>
      </c>
      <c r="D21" s="26">
        <v>2844000</v>
      </c>
      <c r="E21" s="57">
        <f>+EIR!B45</f>
        <v>2068000</v>
      </c>
      <c r="F21" s="57">
        <v>2844000</v>
      </c>
      <c r="G21" s="26">
        <f t="shared" si="1"/>
        <v>0</v>
      </c>
      <c r="H21" s="95">
        <f t="shared" si="2"/>
        <v>0</v>
      </c>
      <c r="I21" s="73"/>
    </row>
    <row r="22" spans="1:9" ht="38.25">
      <c r="C22" s="7" t="s">
        <v>87</v>
      </c>
      <c r="D22" s="26">
        <v>308000</v>
      </c>
      <c r="E22" s="57">
        <f>+EIR!B46</f>
        <v>5492250</v>
      </c>
      <c r="F22" s="57">
        <v>800000</v>
      </c>
      <c r="G22" s="26">
        <f t="shared" si="1"/>
        <v>492000</v>
      </c>
      <c r="H22" s="95">
        <f t="shared" si="2"/>
        <v>1.5974025974025974</v>
      </c>
      <c r="I22" s="73" t="s">
        <v>398</v>
      </c>
    </row>
    <row r="23" spans="1:9">
      <c r="C23" s="7" t="s">
        <v>217</v>
      </c>
      <c r="D23" s="26">
        <v>1560000</v>
      </c>
      <c r="E23" s="57">
        <f>+EIR!B47</f>
        <v>1092000</v>
      </c>
      <c r="F23" s="57">
        <v>1560000</v>
      </c>
      <c r="G23" s="26">
        <f t="shared" si="1"/>
        <v>0</v>
      </c>
      <c r="H23" s="95">
        <f t="shared" si="2"/>
        <v>0</v>
      </c>
      <c r="I23" s="73"/>
    </row>
    <row r="24" spans="1:9" s="37" customFormat="1">
      <c r="A24" s="37" t="s">
        <v>204</v>
      </c>
      <c r="B24" s="37" t="s">
        <v>218</v>
      </c>
      <c r="C24" s="38" t="s">
        <v>88</v>
      </c>
      <c r="D24" s="26">
        <v>400000</v>
      </c>
      <c r="E24" s="57">
        <f>+EIR!B48</f>
        <v>61100</v>
      </c>
      <c r="F24" s="57">
        <v>400000</v>
      </c>
      <c r="G24" s="26">
        <f t="shared" si="1"/>
        <v>0</v>
      </c>
      <c r="H24" s="95">
        <f t="shared" si="2"/>
        <v>0</v>
      </c>
      <c r="I24" s="73"/>
    </row>
    <row r="25" spans="1:9">
      <c r="C25" s="43" t="s">
        <v>89</v>
      </c>
      <c r="D25" s="26">
        <v>306000</v>
      </c>
      <c r="E25" s="57">
        <f>+EIR!B49</f>
        <v>0</v>
      </c>
      <c r="F25" s="57"/>
      <c r="G25" s="26">
        <f t="shared" si="1"/>
        <v>-306000</v>
      </c>
      <c r="H25" s="95">
        <f t="shared" si="2"/>
        <v>-1</v>
      </c>
      <c r="I25" s="25"/>
    </row>
    <row r="26" spans="1:9">
      <c r="C26" s="7" t="s">
        <v>90</v>
      </c>
      <c r="D26" s="26">
        <v>304000</v>
      </c>
      <c r="E26" s="57">
        <f>+EIR!B50</f>
        <v>1379408</v>
      </c>
      <c r="F26" s="57">
        <v>1400000</v>
      </c>
      <c r="G26" s="26">
        <f t="shared" si="1"/>
        <v>1096000</v>
      </c>
      <c r="H26" s="95">
        <f t="shared" si="2"/>
        <v>3.6052631578947367</v>
      </c>
      <c r="I26" s="73"/>
    </row>
    <row r="27" spans="1:9">
      <c r="A27" s="20" t="s">
        <v>204</v>
      </c>
      <c r="B27" s="20" t="s">
        <v>219</v>
      </c>
      <c r="C27" s="7" t="s">
        <v>91</v>
      </c>
      <c r="D27" s="26">
        <v>718000</v>
      </c>
      <c r="E27" s="57">
        <f>+EIR!B51</f>
        <v>513396</v>
      </c>
      <c r="F27" s="57">
        <v>718000</v>
      </c>
      <c r="G27" s="26">
        <f t="shared" si="1"/>
        <v>0</v>
      </c>
      <c r="H27" s="95">
        <f t="shared" si="2"/>
        <v>0</v>
      </c>
      <c r="I27" s="73"/>
    </row>
    <row r="28" spans="1:9">
      <c r="A28" s="20" t="s">
        <v>204</v>
      </c>
      <c r="B28" s="20" t="s">
        <v>220</v>
      </c>
      <c r="C28" s="7" t="s">
        <v>92</v>
      </c>
      <c r="D28" s="26">
        <v>73000</v>
      </c>
      <c r="E28" s="57">
        <f>+EIR!B52</f>
        <v>0</v>
      </c>
      <c r="F28" s="57">
        <v>0</v>
      </c>
      <c r="G28" s="26">
        <f t="shared" si="1"/>
        <v>-73000</v>
      </c>
      <c r="H28" s="95">
        <f t="shared" si="2"/>
        <v>-1</v>
      </c>
      <c r="I28" s="40"/>
    </row>
    <row r="29" spans="1:9">
      <c r="A29" s="20" t="s">
        <v>204</v>
      </c>
      <c r="B29" s="20" t="s">
        <v>221</v>
      </c>
      <c r="C29" s="7" t="s">
        <v>93</v>
      </c>
      <c r="D29" s="26">
        <v>187000</v>
      </c>
      <c r="E29" s="57">
        <f>+EIR!B53</f>
        <v>136850</v>
      </c>
      <c r="F29" s="57">
        <v>187000</v>
      </c>
      <c r="G29" s="26">
        <f t="shared" si="1"/>
        <v>0</v>
      </c>
      <c r="H29" s="95">
        <f t="shared" si="2"/>
        <v>0</v>
      </c>
      <c r="I29" s="25"/>
    </row>
    <row r="30" spans="1:9">
      <c r="C30" s="7" t="s">
        <v>94</v>
      </c>
      <c r="D30" s="26">
        <v>2425000</v>
      </c>
      <c r="E30" s="57">
        <f>+EIR!B54</f>
        <v>2754129.99</v>
      </c>
      <c r="F30" s="57">
        <f>+E30*1.059</f>
        <v>2916623.6594099998</v>
      </c>
      <c r="G30" s="26">
        <f t="shared" si="1"/>
        <v>491623.65940999985</v>
      </c>
      <c r="H30" s="95">
        <f t="shared" si="2"/>
        <v>0.20273140594226799</v>
      </c>
      <c r="I30" s="40"/>
    </row>
    <row r="31" spans="1:9">
      <c r="C31" s="7" t="s">
        <v>261</v>
      </c>
      <c r="D31" s="26">
        <v>20177000</v>
      </c>
      <c r="E31" s="57">
        <f>+EIR!B55</f>
        <v>0</v>
      </c>
      <c r="F31" s="57">
        <v>0</v>
      </c>
      <c r="G31" s="26">
        <f t="shared" si="1"/>
        <v>-20177000</v>
      </c>
      <c r="H31" s="95">
        <f t="shared" si="2"/>
        <v>-1</v>
      </c>
      <c r="I31" s="40"/>
    </row>
    <row r="32" spans="1:9" ht="15.75" thickBot="1">
      <c r="C32" s="9" t="s">
        <v>95</v>
      </c>
      <c r="D32" s="35">
        <v>1658000</v>
      </c>
      <c r="E32" s="58">
        <f>+EIR!B56</f>
        <v>4222176</v>
      </c>
      <c r="F32" s="58">
        <v>1658000</v>
      </c>
      <c r="G32" s="35">
        <f t="shared" si="1"/>
        <v>0</v>
      </c>
      <c r="H32" s="96">
        <f t="shared" si="2"/>
        <v>0</v>
      </c>
      <c r="I32" s="83"/>
    </row>
    <row r="33" spans="3:9" ht="16.5" thickTop="1">
      <c r="C33" s="28" t="s">
        <v>222</v>
      </c>
      <c r="D33" s="32">
        <f>SUM(D7:D32)</f>
        <v>197071000</v>
      </c>
      <c r="E33" s="32">
        <f t="shared" ref="E33" si="3">SUM(E7:E32)</f>
        <v>190212197.99000001</v>
      </c>
      <c r="F33" s="32">
        <f>SUM(F7:F32)</f>
        <v>186516041.27741</v>
      </c>
      <c r="G33" s="32">
        <f>SUM(G7:G32)</f>
        <v>-10554958.722590001</v>
      </c>
      <c r="H33" s="149">
        <f t="shared" si="2"/>
        <v>-5.3559167622785703E-2</v>
      </c>
      <c r="I33" s="32">
        <f>SUM(I8:I32)</f>
        <v>0</v>
      </c>
    </row>
    <row r="34" spans="3:9" s="1" customFormat="1" ht="15.75">
      <c r="C34" s="20"/>
      <c r="D34" s="20"/>
      <c r="E34" s="30"/>
      <c r="F34" s="30"/>
      <c r="G34" s="31"/>
      <c r="H34" s="32"/>
      <c r="I34" s="29"/>
    </row>
    <row r="35" spans="3:9">
      <c r="C35" s="20" t="s">
        <v>399</v>
      </c>
      <c r="D35" s="151">
        <f>+D33</f>
        <v>197071000</v>
      </c>
      <c r="E35" s="20">
        <f>+E33-EIR!B57</f>
        <v>0</v>
      </c>
      <c r="G35" s="30"/>
      <c r="H35" s="30"/>
    </row>
    <row r="36" spans="3:9" ht="15.75" thickBot="1">
      <c r="C36" s="79" t="s">
        <v>400</v>
      </c>
      <c r="D36" s="45">
        <f>+F33</f>
        <v>186516041.27741</v>
      </c>
      <c r="G36" s="30"/>
      <c r="H36" s="5"/>
    </row>
    <row r="37" spans="3:9" ht="16.5" thickTop="1">
      <c r="C37" s="1" t="s">
        <v>197</v>
      </c>
      <c r="D37" s="152">
        <f>+D36-D35</f>
        <v>-10554958.722589999</v>
      </c>
      <c r="E37" s="153">
        <f>+D37/D35</f>
        <v>-5.3559167622785696E-2</v>
      </c>
    </row>
    <row r="38" spans="3:9">
      <c r="D38" s="150"/>
    </row>
    <row r="39" spans="3:9">
      <c r="D39" s="150"/>
    </row>
  </sheetData>
  <mergeCells count="9">
    <mergeCell ref="H5:H6"/>
    <mergeCell ref="A1:I1"/>
    <mergeCell ref="A2:I2"/>
    <mergeCell ref="C5:C6"/>
    <mergeCell ref="D5:D6"/>
    <mergeCell ref="E5:E6"/>
    <mergeCell ref="I5:I6"/>
    <mergeCell ref="F5:F6"/>
    <mergeCell ref="G5:G6"/>
  </mergeCells>
  <pageMargins left="0.47244094488188981" right="0.51181102362204722" top="0.23622047244094491" bottom="0.23622047244094491" header="0" footer="0.23622047244094491"/>
  <pageSetup scale="65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view="pageBreakPreview" zoomScale="90" zoomScaleNormal="100" zoomScaleSheetLayoutView="90" workbookViewId="0">
      <selection activeCell="B5" sqref="B5"/>
    </sheetView>
  </sheetViews>
  <sheetFormatPr baseColWidth="10" defaultColWidth="11.42578125" defaultRowHeight="15"/>
  <cols>
    <col min="1" max="1" width="15.42578125" style="41" customWidth="1"/>
    <col min="2" max="2" width="80.5703125" style="41" customWidth="1"/>
    <col min="3" max="3" width="15" style="41" customWidth="1"/>
    <col min="4" max="4" width="16.85546875" style="41" bestFit="1" customWidth="1"/>
    <col min="5" max="5" width="13.42578125" style="41" bestFit="1" customWidth="1"/>
    <col min="6" max="6" width="16.28515625" style="41" customWidth="1"/>
    <col min="7" max="16384" width="11.42578125" style="41"/>
  </cols>
  <sheetData>
    <row r="1" spans="1:5" ht="15.75">
      <c r="A1" s="174" t="s">
        <v>0</v>
      </c>
      <c r="B1" s="174"/>
      <c r="C1" s="174"/>
      <c r="D1" s="174"/>
      <c r="E1" s="5"/>
    </row>
    <row r="2" spans="1:5" ht="15.75">
      <c r="A2" s="174" t="s">
        <v>260</v>
      </c>
      <c r="B2" s="174"/>
      <c r="C2" s="174"/>
      <c r="D2" s="174"/>
      <c r="E2" s="5"/>
    </row>
    <row r="4" spans="1:5" ht="16.5" thickBot="1">
      <c r="A4" s="64" t="s">
        <v>84</v>
      </c>
      <c r="B4" s="64"/>
      <c r="C4" s="64"/>
      <c r="D4" s="87">
        <f>SUM(C5:C43)</f>
        <v>6708668</v>
      </c>
      <c r="E4" s="55">
        <f>+D4-EIR!B43</f>
        <v>0</v>
      </c>
    </row>
    <row r="5" spans="1:5" ht="16.5" thickTop="1">
      <c r="A5" s="5" t="s">
        <v>224</v>
      </c>
      <c r="B5" s="5" t="s">
        <v>262</v>
      </c>
      <c r="C5" s="55">
        <v>83638</v>
      </c>
      <c r="D5" s="88"/>
      <c r="E5" s="55"/>
    </row>
    <row r="6" spans="1:5" ht="15.75">
      <c r="A6" s="5"/>
      <c r="B6" s="5" t="s">
        <v>263</v>
      </c>
      <c r="C6" s="55">
        <f>123193+23407</f>
        <v>146600</v>
      </c>
      <c r="D6" s="88"/>
      <c r="E6" s="55"/>
    </row>
    <row r="7" spans="1:5" ht="15.75">
      <c r="A7" s="5" t="s">
        <v>225</v>
      </c>
      <c r="B7" s="5" t="s">
        <v>280</v>
      </c>
      <c r="C7" s="55">
        <f>22437+4263+71471+13579</f>
        <v>111750</v>
      </c>
      <c r="D7" s="88"/>
      <c r="E7" s="55"/>
    </row>
    <row r="8" spans="1:5" ht="15.75">
      <c r="A8" s="5"/>
      <c r="B8" s="5" t="s">
        <v>285</v>
      </c>
      <c r="C8" s="55">
        <f>107563+20437+17647+3353</f>
        <v>149000</v>
      </c>
      <c r="D8" s="88"/>
      <c r="E8" s="55"/>
    </row>
    <row r="9" spans="1:5" ht="15.75">
      <c r="A9" s="5"/>
      <c r="B9" s="5" t="s">
        <v>281</v>
      </c>
      <c r="C9" s="55">
        <f>34483+5517</f>
        <v>40000</v>
      </c>
      <c r="D9" s="88"/>
      <c r="E9" s="55"/>
    </row>
    <row r="10" spans="1:5" ht="15.75">
      <c r="A10" s="5"/>
      <c r="B10" s="5" t="s">
        <v>282</v>
      </c>
      <c r="C10" s="55">
        <f>85388+16223</f>
        <v>101611</v>
      </c>
      <c r="D10" s="88"/>
      <c r="E10" s="55"/>
    </row>
    <row r="11" spans="1:5">
      <c r="A11" s="5"/>
      <c r="B11" s="5" t="s">
        <v>283</v>
      </c>
      <c r="C11" s="55">
        <f>462185+87815</f>
        <v>550000</v>
      </c>
      <c r="D11" s="55"/>
      <c r="E11" s="5"/>
    </row>
    <row r="12" spans="1:5">
      <c r="A12" s="5"/>
      <c r="B12" s="5" t="s">
        <v>284</v>
      </c>
      <c r="C12" s="55">
        <f>70252+13348</f>
        <v>83600</v>
      </c>
      <c r="D12" s="5"/>
      <c r="E12" s="5"/>
    </row>
    <row r="13" spans="1:5">
      <c r="A13" s="5" t="s">
        <v>226</v>
      </c>
      <c r="B13" s="5" t="s">
        <v>295</v>
      </c>
      <c r="C13" s="55">
        <v>7500</v>
      </c>
      <c r="D13" s="5"/>
      <c r="E13" s="5"/>
    </row>
    <row r="14" spans="1:5">
      <c r="A14" s="5"/>
      <c r="B14" s="5" t="s">
        <v>296</v>
      </c>
      <c r="C14" s="55">
        <f>5378+1022+17563+3337</f>
        <v>27300</v>
      </c>
      <c r="D14" s="5"/>
      <c r="E14" s="5"/>
    </row>
    <row r="15" spans="1:5">
      <c r="A15" s="5"/>
      <c r="B15" s="78" t="s">
        <v>306</v>
      </c>
      <c r="C15" s="89">
        <v>150000</v>
      </c>
      <c r="D15" s="5"/>
      <c r="E15" s="5"/>
    </row>
    <row r="16" spans="1:5">
      <c r="A16" s="5"/>
      <c r="B16" s="78" t="s">
        <v>307</v>
      </c>
      <c r="C16" s="89">
        <v>-550000</v>
      </c>
      <c r="D16" s="5"/>
      <c r="E16" s="5"/>
    </row>
    <row r="17" spans="1:7">
      <c r="A17" s="5" t="s">
        <v>227</v>
      </c>
      <c r="B17" s="5" t="s">
        <v>310</v>
      </c>
      <c r="C17" s="55">
        <f>165000+31350</f>
        <v>196350</v>
      </c>
      <c r="D17" s="5"/>
      <c r="E17" s="5"/>
      <c r="F17" s="5"/>
      <c r="G17" s="5"/>
    </row>
    <row r="18" spans="1:7">
      <c r="A18" s="5"/>
      <c r="B18" s="5" t="s">
        <v>311</v>
      </c>
      <c r="C18" s="55">
        <f>10588+2012</f>
        <v>12600</v>
      </c>
      <c r="D18" s="5"/>
      <c r="E18" s="5"/>
      <c r="F18" s="5"/>
      <c r="G18" s="5"/>
    </row>
    <row r="19" spans="1:7">
      <c r="A19" s="5"/>
      <c r="B19" s="5" t="s">
        <v>312</v>
      </c>
      <c r="C19" s="55">
        <f>50588+9612</f>
        <v>60200</v>
      </c>
      <c r="D19" s="5"/>
      <c r="E19" s="55"/>
      <c r="F19" s="5"/>
      <c r="G19" s="5"/>
    </row>
    <row r="20" spans="1:7">
      <c r="A20" s="5"/>
      <c r="B20" s="5" t="s">
        <v>313</v>
      </c>
      <c r="C20" s="55">
        <f>86555+16445</f>
        <v>103000</v>
      </c>
      <c r="D20" s="5"/>
      <c r="E20" s="55"/>
      <c r="F20" s="5"/>
      <c r="G20" s="5"/>
    </row>
    <row r="21" spans="1:7">
      <c r="A21" s="5" t="s">
        <v>228</v>
      </c>
      <c r="B21" s="5" t="s">
        <v>318</v>
      </c>
      <c r="C21" s="55">
        <f>138992+26408</f>
        <v>165400</v>
      </c>
      <c r="D21" s="5"/>
      <c r="E21" s="55"/>
      <c r="F21" s="5"/>
      <c r="G21" s="5"/>
    </row>
    <row r="22" spans="1:7">
      <c r="A22" s="5"/>
      <c r="B22" s="5" t="s">
        <v>319</v>
      </c>
      <c r="C22" s="55">
        <v>50000</v>
      </c>
      <c r="D22" s="5"/>
      <c r="E22" s="55"/>
      <c r="F22" s="5"/>
      <c r="G22" s="5"/>
    </row>
    <row r="23" spans="1:7">
      <c r="A23" s="5"/>
      <c r="B23" s="5" t="s">
        <v>320</v>
      </c>
      <c r="C23" s="55">
        <f>300000+57000</f>
        <v>357000</v>
      </c>
      <c r="D23" s="5"/>
      <c r="E23" s="55"/>
      <c r="F23" s="5"/>
      <c r="G23" s="5"/>
    </row>
    <row r="24" spans="1:7">
      <c r="A24" s="5" t="s">
        <v>232</v>
      </c>
      <c r="B24" s="5" t="s">
        <v>323</v>
      </c>
      <c r="C24" s="55">
        <f>19954+2294</f>
        <v>22248</v>
      </c>
      <c r="D24" s="5"/>
      <c r="E24" s="55"/>
      <c r="F24" s="5"/>
      <c r="G24" s="5"/>
    </row>
    <row r="25" spans="1:7">
      <c r="A25" s="5"/>
      <c r="B25" s="5" t="s">
        <v>325</v>
      </c>
      <c r="C25" s="55">
        <f>200000+342000</f>
        <v>542000</v>
      </c>
      <c r="D25" s="5"/>
      <c r="E25" s="55"/>
      <c r="F25" s="5"/>
      <c r="G25" s="5"/>
    </row>
    <row r="26" spans="1:7">
      <c r="A26" s="5" t="s">
        <v>230</v>
      </c>
      <c r="B26" s="5" t="s">
        <v>331</v>
      </c>
      <c r="C26" s="55">
        <f>167250+31778</f>
        <v>199028</v>
      </c>
      <c r="D26" s="5"/>
      <c r="E26" s="55"/>
      <c r="F26" s="5"/>
      <c r="G26" s="5"/>
    </row>
    <row r="27" spans="1:7">
      <c r="A27" s="5" t="s">
        <v>2</v>
      </c>
      <c r="B27" s="5" t="s">
        <v>336</v>
      </c>
      <c r="C27" s="55">
        <v>26100</v>
      </c>
      <c r="D27" s="5"/>
      <c r="E27" s="55"/>
      <c r="F27" s="5"/>
      <c r="G27" s="5"/>
    </row>
    <row r="28" spans="1:7">
      <c r="A28" s="5"/>
      <c r="B28" s="5" t="s">
        <v>337</v>
      </c>
      <c r="C28" s="55">
        <v>6000</v>
      </c>
      <c r="D28" s="5"/>
      <c r="E28" s="55"/>
      <c r="F28" s="5"/>
      <c r="G28" s="5"/>
    </row>
    <row r="29" spans="1:7">
      <c r="A29" s="5"/>
      <c r="B29" s="5" t="s">
        <v>338</v>
      </c>
      <c r="C29" s="55">
        <f>17227+3273</f>
        <v>20500</v>
      </c>
      <c r="D29" s="5"/>
      <c r="E29" s="55"/>
      <c r="F29" s="5"/>
      <c r="G29" s="5"/>
    </row>
    <row r="30" spans="1:7">
      <c r="A30" s="5"/>
      <c r="B30" s="5" t="s">
        <v>339</v>
      </c>
      <c r="C30" s="55">
        <v>171500</v>
      </c>
      <c r="D30" s="5"/>
      <c r="E30" s="55"/>
      <c r="F30" s="5"/>
      <c r="G30" s="5"/>
    </row>
    <row r="31" spans="1:7">
      <c r="A31" s="5"/>
      <c r="B31" s="5" t="s">
        <v>340</v>
      </c>
      <c r="C31" s="55">
        <f>344538+65462</f>
        <v>410000</v>
      </c>
      <c r="D31" s="5"/>
      <c r="E31" s="55"/>
      <c r="F31" s="5"/>
      <c r="G31" s="5"/>
    </row>
    <row r="32" spans="1:7">
      <c r="A32" s="5"/>
      <c r="B32" s="5" t="s">
        <v>341</v>
      </c>
      <c r="C32" s="55">
        <f>49496+9404</f>
        <v>58900</v>
      </c>
      <c r="D32" s="5"/>
      <c r="E32" s="55"/>
      <c r="F32" s="5"/>
      <c r="G32" s="5"/>
    </row>
    <row r="33" spans="1:7">
      <c r="A33" s="5"/>
      <c r="B33" s="5" t="s">
        <v>342</v>
      </c>
      <c r="C33" s="55">
        <f>980000+186200</f>
        <v>1166200</v>
      </c>
      <c r="D33" s="5"/>
      <c r="E33" s="55"/>
      <c r="F33" s="5"/>
      <c r="G33" s="5"/>
    </row>
    <row r="34" spans="1:7">
      <c r="A34" s="5" t="s">
        <v>1</v>
      </c>
      <c r="B34" s="5" t="s">
        <v>361</v>
      </c>
      <c r="C34" s="55">
        <f>487395+92605</f>
        <v>580000</v>
      </c>
      <c r="D34" s="5"/>
      <c r="E34" s="55"/>
      <c r="F34" s="5"/>
      <c r="G34" s="5"/>
    </row>
    <row r="35" spans="1:7">
      <c r="A35" s="5"/>
      <c r="B35" s="5" t="s">
        <v>362</v>
      </c>
      <c r="C35" s="55">
        <f>221200+42028</f>
        <v>263228</v>
      </c>
      <c r="D35" s="5"/>
      <c r="E35" s="55"/>
      <c r="F35" s="5"/>
      <c r="G35" s="5"/>
    </row>
    <row r="36" spans="1:7">
      <c r="A36" s="5"/>
      <c r="B36" s="5" t="s">
        <v>363</v>
      </c>
      <c r="C36" s="55">
        <f>420000+79800</f>
        <v>499800</v>
      </c>
      <c r="D36" s="5"/>
      <c r="E36" s="55"/>
      <c r="F36" s="5"/>
      <c r="G36" s="5"/>
    </row>
    <row r="37" spans="1:7">
      <c r="A37" s="5" t="s">
        <v>236</v>
      </c>
      <c r="B37" s="5" t="s">
        <v>371</v>
      </c>
      <c r="C37" s="55">
        <f>288824+54876</f>
        <v>343700</v>
      </c>
      <c r="D37" s="5"/>
      <c r="E37" s="55"/>
      <c r="F37" s="5"/>
      <c r="G37" s="5"/>
    </row>
    <row r="38" spans="1:7">
      <c r="A38" s="5" t="s">
        <v>237</v>
      </c>
      <c r="B38" s="5" t="s">
        <v>379</v>
      </c>
      <c r="C38" s="55">
        <f>178500+33915</f>
        <v>212415</v>
      </c>
      <c r="D38" s="5"/>
      <c r="E38" s="55"/>
      <c r="F38" s="5"/>
      <c r="G38" s="5"/>
    </row>
    <row r="39" spans="1:7">
      <c r="A39" s="5"/>
      <c r="B39" s="5" t="s">
        <v>380</v>
      </c>
      <c r="C39" s="55">
        <v>200000</v>
      </c>
      <c r="D39" s="5"/>
      <c r="E39" s="55"/>
      <c r="F39" s="5"/>
      <c r="G39" s="5"/>
    </row>
    <row r="40" spans="1:7">
      <c r="A40" s="5"/>
      <c r="B40" s="5" t="s">
        <v>381</v>
      </c>
      <c r="C40" s="55">
        <v>50000</v>
      </c>
      <c r="D40" s="5"/>
      <c r="E40" s="55"/>
      <c r="F40" s="5"/>
      <c r="G40" s="5"/>
    </row>
    <row r="41" spans="1:7">
      <c r="A41" s="5"/>
      <c r="B41" s="78" t="s">
        <v>392</v>
      </c>
      <c r="C41" s="55">
        <v>90000</v>
      </c>
      <c r="D41" s="5"/>
      <c r="E41" s="55"/>
      <c r="F41" s="5"/>
      <c r="G41" s="5"/>
    </row>
    <row r="42" spans="1:7">
      <c r="A42" s="5"/>
      <c r="B42" s="5" t="s">
        <v>382</v>
      </c>
      <c r="C42" s="55">
        <v>1500</v>
      </c>
      <c r="D42" s="5"/>
      <c r="E42" s="55"/>
      <c r="F42" s="5"/>
      <c r="G42" s="5"/>
    </row>
    <row r="43" spans="1:7">
      <c r="A43" s="5"/>
      <c r="B43" s="5"/>
      <c r="C43" s="55"/>
      <c r="D43" s="5"/>
      <c r="E43" s="55"/>
      <c r="F43" s="5"/>
      <c r="G43" s="5"/>
    </row>
    <row r="44" spans="1:7" ht="16.5" thickBot="1">
      <c r="A44" s="64" t="s">
        <v>231</v>
      </c>
      <c r="B44" s="64"/>
      <c r="C44" s="64"/>
      <c r="D44" s="87">
        <f>SUM(C45:C82)</f>
        <v>18339033</v>
      </c>
      <c r="E44" s="55">
        <f>+D44-Ejecucion!F20</f>
        <v>0</v>
      </c>
      <c r="F44" s="55"/>
      <c r="G44" s="5"/>
    </row>
    <row r="45" spans="1:7" ht="15.75" thickTop="1">
      <c r="A45" s="5" t="s">
        <v>224</v>
      </c>
      <c r="B45" s="5" t="s">
        <v>264</v>
      </c>
      <c r="C45" s="55">
        <f>169800+60000</f>
        <v>229800</v>
      </c>
      <c r="D45" s="55"/>
      <c r="E45" s="55"/>
      <c r="F45" s="55"/>
      <c r="G45" s="5"/>
    </row>
    <row r="46" spans="1:7">
      <c r="A46" s="5"/>
      <c r="B46" s="5" t="s">
        <v>278</v>
      </c>
      <c r="C46" s="55">
        <v>1360000</v>
      </c>
      <c r="D46" s="55"/>
      <c r="E46" s="55"/>
      <c r="F46" s="55"/>
      <c r="G46" s="5"/>
    </row>
    <row r="47" spans="1:7">
      <c r="A47" s="5" t="s">
        <v>225</v>
      </c>
      <c r="B47" s="5" t="s">
        <v>286</v>
      </c>
      <c r="C47" s="55">
        <f>83335+15834</f>
        <v>99169</v>
      </c>
      <c r="D47" s="55"/>
      <c r="E47" s="55"/>
      <c r="F47" s="55"/>
      <c r="G47" s="5"/>
    </row>
    <row r="48" spans="1:7">
      <c r="A48" s="5"/>
      <c r="B48" s="5" t="s">
        <v>354</v>
      </c>
      <c r="C48" s="55">
        <f>355500+67545+355500+67545</f>
        <v>846090</v>
      </c>
      <c r="D48" s="55"/>
      <c r="E48" s="55"/>
      <c r="F48" s="55"/>
      <c r="G48" s="5"/>
    </row>
    <row r="49" spans="1:7">
      <c r="A49" s="5" t="s">
        <v>226</v>
      </c>
      <c r="B49" s="5" t="s">
        <v>297</v>
      </c>
      <c r="C49" s="55">
        <v>171500</v>
      </c>
      <c r="D49" s="55"/>
      <c r="E49" s="55"/>
      <c r="F49" s="55"/>
      <c r="G49" s="55"/>
    </row>
    <row r="50" spans="1:7">
      <c r="A50" s="5"/>
      <c r="B50" s="5" t="s">
        <v>298</v>
      </c>
      <c r="C50" s="55">
        <f>12101+2299</f>
        <v>14400</v>
      </c>
      <c r="D50" s="55"/>
      <c r="E50" s="55"/>
      <c r="F50" s="55"/>
    </row>
    <row r="51" spans="1:7">
      <c r="A51" s="5"/>
      <c r="B51" s="5" t="s">
        <v>299</v>
      </c>
      <c r="C51" s="55">
        <f>20905+3922</f>
        <v>24827</v>
      </c>
      <c r="D51" s="55"/>
      <c r="E51" s="55"/>
      <c r="F51" s="55"/>
    </row>
    <row r="52" spans="1:7">
      <c r="A52" s="5"/>
      <c r="B52" s="5" t="s">
        <v>300</v>
      </c>
      <c r="C52" s="55">
        <f>52521+9979</f>
        <v>62500</v>
      </c>
      <c r="D52" s="55"/>
      <c r="E52" s="55"/>
      <c r="F52" s="55"/>
    </row>
    <row r="53" spans="1:7">
      <c r="A53" s="5"/>
      <c r="B53" s="5" t="s">
        <v>301</v>
      </c>
      <c r="C53" s="55">
        <f>749000+215000+185000+439600+43400+35000</f>
        <v>1667000</v>
      </c>
      <c r="D53" s="55"/>
      <c r="E53" s="55"/>
      <c r="F53" s="55"/>
    </row>
    <row r="54" spans="1:7">
      <c r="A54" s="5"/>
      <c r="B54" s="5" t="s">
        <v>302</v>
      </c>
      <c r="C54" s="55">
        <v>245000</v>
      </c>
      <c r="D54" s="55"/>
      <c r="E54" s="55"/>
      <c r="F54" s="55"/>
    </row>
    <row r="55" spans="1:7">
      <c r="A55" s="5"/>
      <c r="B55" s="5" t="s">
        <v>303</v>
      </c>
      <c r="C55" s="55">
        <f>89170+16942</f>
        <v>106112</v>
      </c>
      <c r="D55" s="55"/>
      <c r="E55" s="55"/>
      <c r="F55" s="55"/>
    </row>
    <row r="56" spans="1:7">
      <c r="A56" s="5"/>
      <c r="B56" s="5" t="s">
        <v>358</v>
      </c>
      <c r="C56" s="55">
        <f>237000+45030</f>
        <v>282030</v>
      </c>
      <c r="D56" s="55"/>
      <c r="E56" s="55"/>
      <c r="F56" s="55"/>
    </row>
    <row r="57" spans="1:7">
      <c r="A57" s="5" t="s">
        <v>227</v>
      </c>
      <c r="B57" s="5" t="s">
        <v>314</v>
      </c>
      <c r="C57" s="55">
        <f>289076+54924</f>
        <v>344000</v>
      </c>
      <c r="D57" s="55"/>
      <c r="E57" s="55"/>
      <c r="F57" s="55"/>
    </row>
    <row r="58" spans="1:7">
      <c r="A58" s="5"/>
      <c r="B58" s="5" t="s">
        <v>357</v>
      </c>
      <c r="C58" s="55">
        <f>74000+14060</f>
        <v>88060</v>
      </c>
      <c r="D58" s="55"/>
      <c r="E58" s="55"/>
      <c r="F58" s="55"/>
    </row>
    <row r="59" spans="1:7">
      <c r="A59" s="5" t="s">
        <v>228</v>
      </c>
      <c r="B59" s="5" t="s">
        <v>352</v>
      </c>
      <c r="C59" s="55">
        <f>237000+45030</f>
        <v>282030</v>
      </c>
      <c r="D59" s="55"/>
      <c r="E59" s="55"/>
      <c r="F59" s="55"/>
    </row>
    <row r="60" spans="1:7">
      <c r="A60" s="5"/>
      <c r="B60" s="5" t="s">
        <v>317</v>
      </c>
      <c r="C60" s="55">
        <f>89748+17052</f>
        <v>106800</v>
      </c>
      <c r="D60" s="55"/>
      <c r="E60" s="55"/>
      <c r="F60" s="55"/>
    </row>
    <row r="61" spans="1:7">
      <c r="A61" s="5" t="s">
        <v>232</v>
      </c>
      <c r="B61" s="5" t="s">
        <v>353</v>
      </c>
      <c r="C61" s="55">
        <f>237000+45030</f>
        <v>282030</v>
      </c>
      <c r="D61" s="55"/>
      <c r="E61" s="55"/>
      <c r="F61" s="55"/>
    </row>
    <row r="62" spans="1:7">
      <c r="A62" s="5" t="s">
        <v>229</v>
      </c>
      <c r="B62" s="5" t="s">
        <v>300</v>
      </c>
      <c r="C62" s="55">
        <f>60924+11576</f>
        <v>72500</v>
      </c>
      <c r="D62" s="55"/>
      <c r="E62" s="55"/>
      <c r="F62" s="55"/>
    </row>
    <row r="63" spans="1:7">
      <c r="A63" s="5"/>
      <c r="B63" s="5" t="s">
        <v>326</v>
      </c>
      <c r="C63" s="55">
        <f>126000+65000</f>
        <v>191000</v>
      </c>
      <c r="D63" s="55"/>
      <c r="E63" s="55"/>
      <c r="F63" s="55"/>
    </row>
    <row r="64" spans="1:7">
      <c r="A64" s="5"/>
      <c r="B64" s="5" t="s">
        <v>327</v>
      </c>
      <c r="C64" s="55">
        <f>306000+41000</f>
        <v>347000</v>
      </c>
      <c r="D64" s="55"/>
      <c r="E64" s="55"/>
      <c r="F64" s="55"/>
    </row>
    <row r="65" spans="1:6">
      <c r="A65" s="5"/>
      <c r="B65" s="5" t="s">
        <v>302</v>
      </c>
      <c r="C65" s="55">
        <v>250000</v>
      </c>
      <c r="D65" s="55"/>
      <c r="E65" s="55"/>
      <c r="F65" s="55"/>
    </row>
    <row r="66" spans="1:6">
      <c r="A66" s="5"/>
      <c r="B66" s="5" t="s">
        <v>356</v>
      </c>
      <c r="C66" s="55">
        <f>237000+45030</f>
        <v>282030</v>
      </c>
      <c r="D66" s="55"/>
      <c r="E66" s="55"/>
      <c r="F66" s="55"/>
    </row>
    <row r="67" spans="1:6">
      <c r="A67" s="5" t="s">
        <v>230</v>
      </c>
      <c r="B67" s="5" t="s">
        <v>332</v>
      </c>
      <c r="C67" s="55">
        <v>1190000</v>
      </c>
      <c r="D67" s="55"/>
      <c r="E67" s="55"/>
      <c r="F67" s="55"/>
    </row>
    <row r="68" spans="1:6">
      <c r="A68" s="5"/>
      <c r="B68" s="5" t="s">
        <v>355</v>
      </c>
      <c r="C68" s="55">
        <f>237000+45030</f>
        <v>282030</v>
      </c>
      <c r="D68" s="55"/>
      <c r="E68" s="55"/>
      <c r="F68" s="55"/>
    </row>
    <row r="69" spans="1:6">
      <c r="A69" s="5"/>
      <c r="B69" s="5" t="s">
        <v>333</v>
      </c>
      <c r="C69" s="55">
        <f>1801900+342361</f>
        <v>2144261</v>
      </c>
      <c r="D69" s="55"/>
      <c r="E69" s="55"/>
      <c r="F69" s="55"/>
    </row>
    <row r="70" spans="1:6">
      <c r="A70" s="5" t="s">
        <v>2</v>
      </c>
      <c r="B70" s="5" t="s">
        <v>343</v>
      </c>
      <c r="C70" s="55">
        <f>2941+559</f>
        <v>3500</v>
      </c>
      <c r="D70" s="55"/>
      <c r="E70" s="55"/>
      <c r="F70" s="55"/>
    </row>
    <row r="71" spans="1:6">
      <c r="A71" s="5"/>
      <c r="B71" s="5" t="s">
        <v>344</v>
      </c>
      <c r="C71" s="55">
        <f>237000+45030</f>
        <v>282030</v>
      </c>
      <c r="D71" s="55"/>
      <c r="E71" s="55"/>
      <c r="F71" s="55"/>
    </row>
    <row r="72" spans="1:6">
      <c r="A72" s="5"/>
      <c r="B72" s="5" t="s">
        <v>345</v>
      </c>
      <c r="C72" s="55">
        <f>2490670+145000+34000+73000+24800+544553</f>
        <v>3312023</v>
      </c>
      <c r="D72" s="55"/>
      <c r="E72" s="55"/>
      <c r="F72" s="55"/>
    </row>
    <row r="73" spans="1:6">
      <c r="A73" s="5"/>
      <c r="B73" s="5" t="s">
        <v>346</v>
      </c>
      <c r="C73" s="55">
        <f>12000+6600+80000</f>
        <v>98600</v>
      </c>
      <c r="D73" s="55"/>
      <c r="E73" s="55"/>
      <c r="F73" s="55"/>
    </row>
    <row r="74" spans="1:6">
      <c r="A74" s="5"/>
      <c r="B74" s="5" t="s">
        <v>347</v>
      </c>
      <c r="C74" s="55">
        <f>237000+45030</f>
        <v>282030</v>
      </c>
      <c r="D74" s="55"/>
      <c r="E74" s="55"/>
      <c r="F74" s="55"/>
    </row>
    <row r="75" spans="1:6">
      <c r="A75" s="5"/>
      <c r="B75" s="5" t="s">
        <v>348</v>
      </c>
      <c r="C75" s="55">
        <v>1933750</v>
      </c>
      <c r="D75" s="55"/>
      <c r="E75" s="55"/>
      <c r="F75" s="55"/>
    </row>
    <row r="76" spans="1:6">
      <c r="A76" s="5" t="s">
        <v>1</v>
      </c>
      <c r="B76" s="5" t="s">
        <v>364</v>
      </c>
      <c r="C76" s="55">
        <v>130000</v>
      </c>
      <c r="D76" s="55"/>
      <c r="E76" s="55"/>
      <c r="F76" s="55"/>
    </row>
    <row r="77" spans="1:6">
      <c r="A77" s="5"/>
      <c r="B77" s="5" t="s">
        <v>372</v>
      </c>
      <c r="C77" s="55">
        <f>237000+45030</f>
        <v>282030</v>
      </c>
      <c r="D77" s="55"/>
      <c r="E77" s="55"/>
      <c r="F77" s="55"/>
    </row>
    <row r="78" spans="1:6">
      <c r="A78" s="5" t="s">
        <v>236</v>
      </c>
      <c r="B78" s="5" t="s">
        <v>373</v>
      </c>
      <c r="C78" s="55">
        <f>237000+45030</f>
        <v>282030</v>
      </c>
      <c r="D78" s="55"/>
      <c r="E78" s="55"/>
      <c r="F78" s="55"/>
    </row>
    <row r="79" spans="1:6">
      <c r="A79" s="5" t="s">
        <v>237</v>
      </c>
      <c r="B79" s="5" t="s">
        <v>383</v>
      </c>
      <c r="C79" s="55">
        <f>90000+48040</f>
        <v>138040</v>
      </c>
      <c r="D79" s="55"/>
      <c r="E79" s="55"/>
      <c r="F79" s="55"/>
    </row>
    <row r="80" spans="1:6">
      <c r="A80" s="5"/>
      <c r="B80" s="5" t="s">
        <v>384</v>
      </c>
      <c r="C80" s="55">
        <f>507925+96506</f>
        <v>604431</v>
      </c>
      <c r="D80" s="55"/>
      <c r="E80" s="55"/>
      <c r="F80" s="55"/>
    </row>
    <row r="81" spans="1:6">
      <c r="A81" s="5"/>
      <c r="B81" s="5" t="s">
        <v>385</v>
      </c>
      <c r="C81" s="55">
        <f>17143+3257</f>
        <v>20400</v>
      </c>
      <c r="D81" s="55"/>
      <c r="E81" s="55"/>
      <c r="F81" s="55"/>
    </row>
    <row r="82" spans="1:6">
      <c r="A82" s="5"/>
      <c r="B82" s="5"/>
      <c r="C82" s="55"/>
      <c r="D82" s="55"/>
      <c r="E82" s="55"/>
      <c r="F82" s="55"/>
    </row>
    <row r="83" spans="1:6" ht="16.5" thickBot="1">
      <c r="A83" s="64" t="s">
        <v>86</v>
      </c>
      <c r="B83" s="64"/>
      <c r="C83" s="87"/>
      <c r="D83" s="87">
        <f>SUM(C84:C89)</f>
        <v>2068000</v>
      </c>
      <c r="E83" s="55">
        <f>+D83-Ejecucion!F21</f>
        <v>0</v>
      </c>
      <c r="F83" s="5"/>
    </row>
    <row r="84" spans="1:6" ht="15.75" thickTop="1">
      <c r="A84" s="5" t="s">
        <v>224</v>
      </c>
      <c r="B84" s="5" t="s">
        <v>233</v>
      </c>
      <c r="C84" s="89">
        <v>188000</v>
      </c>
      <c r="D84" s="5"/>
      <c r="E84" s="5"/>
    </row>
    <row r="85" spans="1:6">
      <c r="A85" s="5" t="s">
        <v>225</v>
      </c>
      <c r="B85" s="5" t="s">
        <v>233</v>
      </c>
      <c r="C85" s="89">
        <v>188000</v>
      </c>
      <c r="D85" s="5"/>
      <c r="E85" s="5"/>
    </row>
    <row r="86" spans="1:6">
      <c r="A86" s="5" t="s">
        <v>226</v>
      </c>
      <c r="B86" s="5" t="s">
        <v>233</v>
      </c>
      <c r="C86" s="89">
        <v>188000</v>
      </c>
      <c r="D86" s="5"/>
      <c r="E86" s="5"/>
    </row>
    <row r="87" spans="1:6">
      <c r="A87" s="5" t="s">
        <v>229</v>
      </c>
      <c r="B87" s="5" t="s">
        <v>328</v>
      </c>
      <c r="C87" s="89">
        <v>752000</v>
      </c>
      <c r="D87" s="5"/>
      <c r="E87" s="5"/>
    </row>
    <row r="88" spans="1:6">
      <c r="A88" s="5" t="s">
        <v>237</v>
      </c>
      <c r="B88" s="5" t="s">
        <v>386</v>
      </c>
      <c r="C88" s="89">
        <v>752000</v>
      </c>
      <c r="D88" s="55"/>
      <c r="E88" s="5"/>
    </row>
    <row r="89" spans="1:6">
      <c r="A89" s="5"/>
      <c r="B89" s="5"/>
      <c r="C89" s="89"/>
      <c r="D89" s="5"/>
      <c r="E89" s="5"/>
    </row>
    <row r="90" spans="1:6" ht="16.5" thickBot="1">
      <c r="A90" s="64" t="s">
        <v>87</v>
      </c>
      <c r="B90" s="64"/>
      <c r="C90" s="87"/>
      <c r="D90" s="87">
        <f>SUM(C91:C96)</f>
        <v>5492250</v>
      </c>
      <c r="E90" s="55">
        <f>+D90-Ejecucion!F22</f>
        <v>0</v>
      </c>
    </row>
    <row r="91" spans="1:6" ht="15.75" thickTop="1">
      <c r="A91" s="5" t="s">
        <v>225</v>
      </c>
      <c r="B91" s="5" t="s">
        <v>290</v>
      </c>
      <c r="C91" s="55">
        <v>4978750</v>
      </c>
      <c r="D91" s="55"/>
      <c r="E91" s="5"/>
    </row>
    <row r="92" spans="1:6">
      <c r="A92" s="5" t="s">
        <v>235</v>
      </c>
      <c r="B92" s="5" t="s">
        <v>308</v>
      </c>
      <c r="C92" s="55">
        <v>360000</v>
      </c>
      <c r="D92" s="55"/>
      <c r="E92" s="5"/>
    </row>
    <row r="93" spans="1:6">
      <c r="A93" s="5" t="s">
        <v>232</v>
      </c>
      <c r="B93" s="5" t="s">
        <v>324</v>
      </c>
      <c r="C93" s="55">
        <f>45000+108500</f>
        <v>153500</v>
      </c>
      <c r="D93" s="55"/>
      <c r="E93" s="5"/>
    </row>
    <row r="94" spans="1:6">
      <c r="A94" s="5"/>
      <c r="B94" s="5"/>
      <c r="C94" s="55"/>
      <c r="D94" s="55"/>
      <c r="E94" s="5"/>
    </row>
    <row r="95" spans="1:6" hidden="1">
      <c r="A95" s="5"/>
      <c r="B95" s="5"/>
      <c r="C95" s="55"/>
      <c r="D95" s="55"/>
      <c r="E95" s="5"/>
    </row>
    <row r="96" spans="1:6" hidden="1">
      <c r="A96" s="5"/>
      <c r="B96" s="5"/>
      <c r="C96" s="55"/>
      <c r="D96" s="55"/>
      <c r="E96" s="5"/>
    </row>
    <row r="97" spans="1:5" ht="16.5" thickBot="1">
      <c r="A97" s="64" t="s">
        <v>95</v>
      </c>
      <c r="B97" s="64"/>
      <c r="C97" s="87"/>
      <c r="D97" s="87">
        <f>SUM(C98:C112)</f>
        <v>4222176</v>
      </c>
      <c r="E97" s="55">
        <f>+D97-Ejecucion!F32</f>
        <v>0</v>
      </c>
    </row>
    <row r="98" spans="1:5" ht="15.75" thickTop="1">
      <c r="A98" s="5" t="s">
        <v>224</v>
      </c>
      <c r="B98" s="5" t="s">
        <v>265</v>
      </c>
      <c r="C98" s="55">
        <v>500000</v>
      </c>
      <c r="D98" s="55"/>
      <c r="E98" s="5"/>
    </row>
    <row r="99" spans="1:5">
      <c r="A99" s="5"/>
      <c r="B99" s="5" t="s">
        <v>266</v>
      </c>
      <c r="C99" s="55">
        <v>176853</v>
      </c>
      <c r="D99" s="55"/>
      <c r="E99" s="5"/>
    </row>
    <row r="100" spans="1:5">
      <c r="A100" s="5" t="s">
        <v>225</v>
      </c>
      <c r="B100" s="5" t="s">
        <v>291</v>
      </c>
      <c r="C100" s="55">
        <f>429700+192000</f>
        <v>621700</v>
      </c>
      <c r="D100" s="55"/>
      <c r="E100" s="5"/>
    </row>
    <row r="101" spans="1:5">
      <c r="A101" s="5" t="s">
        <v>226</v>
      </c>
      <c r="B101" s="5" t="s">
        <v>304</v>
      </c>
      <c r="C101" s="55">
        <v>140000</v>
      </c>
      <c r="D101" s="55"/>
      <c r="E101" s="5"/>
    </row>
    <row r="102" spans="1:5">
      <c r="A102" s="5"/>
      <c r="B102" s="5" t="s">
        <v>305</v>
      </c>
      <c r="C102" s="55">
        <v>211000</v>
      </c>
      <c r="D102" s="55"/>
      <c r="E102" s="5"/>
    </row>
    <row r="103" spans="1:5">
      <c r="A103" s="5" t="s">
        <v>227</v>
      </c>
      <c r="B103" s="5" t="s">
        <v>315</v>
      </c>
      <c r="C103" s="55">
        <v>339609</v>
      </c>
      <c r="D103" s="55"/>
      <c r="E103" s="5"/>
    </row>
    <row r="104" spans="1:5">
      <c r="A104" s="5" t="s">
        <v>229</v>
      </c>
      <c r="B104" s="5" t="s">
        <v>329</v>
      </c>
      <c r="C104" s="55">
        <v>10160</v>
      </c>
      <c r="D104" s="55"/>
      <c r="E104" s="5"/>
    </row>
    <row r="105" spans="1:5">
      <c r="A105" s="5"/>
      <c r="B105" s="5" t="s">
        <v>334</v>
      </c>
      <c r="C105" s="55">
        <v>11854</v>
      </c>
      <c r="D105" s="55"/>
      <c r="E105" s="5"/>
    </row>
    <row r="106" spans="1:5">
      <c r="A106" s="5" t="s">
        <v>2</v>
      </c>
      <c r="B106" s="5" t="s">
        <v>349</v>
      </c>
      <c r="C106" s="55">
        <f>375000*2</f>
        <v>750000</v>
      </c>
      <c r="D106" s="55"/>
      <c r="E106" s="5"/>
    </row>
    <row r="107" spans="1:5">
      <c r="A107" s="5"/>
      <c r="B107" s="5" t="s">
        <v>350</v>
      </c>
      <c r="C107" s="55">
        <v>108000</v>
      </c>
      <c r="D107" s="55"/>
      <c r="E107" s="5"/>
    </row>
    <row r="108" spans="1:5">
      <c r="A108" s="5"/>
      <c r="B108" s="5" t="s">
        <v>351</v>
      </c>
      <c r="C108" s="55">
        <v>1178100</v>
      </c>
      <c r="D108" s="55"/>
      <c r="E108" s="5"/>
    </row>
    <row r="109" spans="1:5">
      <c r="A109" s="5"/>
      <c r="B109" s="5" t="s">
        <v>335</v>
      </c>
      <c r="C109" s="55">
        <v>174900</v>
      </c>
      <c r="D109" s="55"/>
      <c r="E109" s="5"/>
    </row>
    <row r="110" spans="1:5">
      <c r="A110" s="5"/>
      <c r="B110" s="5"/>
      <c r="C110" s="55"/>
      <c r="D110" s="55"/>
      <c r="E110" s="5"/>
    </row>
    <row r="111" spans="1:5" hidden="1">
      <c r="A111" s="5"/>
      <c r="B111" s="5"/>
      <c r="C111" s="55"/>
      <c r="D111" s="55"/>
      <c r="E111" s="5"/>
    </row>
    <row r="112" spans="1:5" hidden="1">
      <c r="A112" s="5"/>
      <c r="B112" s="5"/>
      <c r="C112" s="55"/>
      <c r="D112" s="55"/>
      <c r="E112" s="5"/>
    </row>
    <row r="113" spans="1:5" ht="16.5" thickBot="1">
      <c r="A113" s="64" t="s">
        <v>42</v>
      </c>
      <c r="B113" s="64"/>
      <c r="C113" s="87"/>
      <c r="D113" s="90">
        <f>SUM(C114:C121)</f>
        <v>7718198</v>
      </c>
      <c r="E113" s="55">
        <f>+D113-ESF!B67</f>
        <v>0</v>
      </c>
    </row>
    <row r="114" spans="1:5" ht="16.5" thickTop="1">
      <c r="A114" s="71" t="s">
        <v>288</v>
      </c>
      <c r="B114" s="71"/>
      <c r="C114" s="88">
        <v>14448798</v>
      </c>
      <c r="D114" s="88"/>
      <c r="E114" s="55"/>
    </row>
    <row r="115" spans="1:5" ht="15.75">
      <c r="A115" s="5"/>
      <c r="B115" s="5" t="s">
        <v>289</v>
      </c>
      <c r="C115" s="55">
        <f>129000*12</f>
        <v>1548000</v>
      </c>
      <c r="D115" s="88"/>
      <c r="E115" s="55"/>
    </row>
    <row r="116" spans="1:5">
      <c r="A116" s="5" t="s">
        <v>228</v>
      </c>
      <c r="B116" s="5" t="s">
        <v>321</v>
      </c>
      <c r="C116" s="55">
        <v>-4200000</v>
      </c>
      <c r="D116" s="5"/>
      <c r="E116" s="5"/>
    </row>
    <row r="117" spans="1:5">
      <c r="A117" s="5"/>
      <c r="B117" s="5" t="s">
        <v>322</v>
      </c>
      <c r="C117" s="55">
        <v>-4078600</v>
      </c>
      <c r="D117" s="5"/>
      <c r="E117" s="5"/>
    </row>
    <row r="118" spans="1:5">
      <c r="A118" s="5"/>
      <c r="B118" s="5"/>
      <c r="C118" s="55"/>
      <c r="D118" s="5"/>
      <c r="E118" s="5"/>
    </row>
    <row r="119" spans="1:5" hidden="1">
      <c r="A119" s="5"/>
      <c r="B119" s="5"/>
      <c r="C119" s="55"/>
      <c r="D119" s="5"/>
      <c r="E119" s="5"/>
    </row>
    <row r="120" spans="1:5" hidden="1">
      <c r="A120" s="5"/>
      <c r="B120" s="5"/>
      <c r="C120" s="55"/>
      <c r="D120" s="5"/>
      <c r="E120" s="5"/>
    </row>
    <row r="121" spans="1:5" hidden="1">
      <c r="A121" s="5"/>
      <c r="B121" s="5"/>
      <c r="C121" s="55"/>
      <c r="D121" s="5"/>
      <c r="E121" s="5"/>
    </row>
    <row r="122" spans="1:5" hidden="1">
      <c r="A122" s="5"/>
      <c r="B122" s="5"/>
      <c r="C122" s="5"/>
      <c r="D122" s="5"/>
      <c r="E122" s="5"/>
    </row>
    <row r="123" spans="1:5" ht="16.5" thickBot="1">
      <c r="A123" s="64" t="s">
        <v>287</v>
      </c>
      <c r="B123" s="64"/>
      <c r="C123" s="87"/>
      <c r="D123" s="87">
        <f>SUM(C124:C129)</f>
        <v>63924699.979999997</v>
      </c>
      <c r="E123" s="55">
        <f>+D123-ESF!B76</f>
        <v>0</v>
      </c>
    </row>
    <row r="124" spans="1:5" ht="15.75" thickTop="1">
      <c r="A124" s="5"/>
      <c r="B124" s="5" t="s">
        <v>234</v>
      </c>
      <c r="C124" s="55">
        <v>63924699.979999997</v>
      </c>
      <c r="D124" s="5"/>
      <c r="E124" s="5"/>
    </row>
    <row r="125" spans="1:5">
      <c r="A125" s="5"/>
      <c r="B125" s="5"/>
      <c r="C125" s="55"/>
      <c r="D125" s="5"/>
      <c r="E125" s="5"/>
    </row>
    <row r="126" spans="1:5" hidden="1"/>
    <row r="127" spans="1:5" hidden="1"/>
    <row r="128" spans="1:5" hidden="1"/>
    <row r="129" spans="1:5" hidden="1"/>
    <row r="130" spans="1:5" ht="16.5" thickBot="1">
      <c r="A130" s="64" t="s">
        <v>257</v>
      </c>
      <c r="B130" s="64"/>
      <c r="C130" s="87"/>
      <c r="D130" s="87">
        <f>SUM(C131:C135)</f>
        <v>31355716</v>
      </c>
      <c r="E130" s="55">
        <f>+D130-ESF!B68</f>
        <v>0</v>
      </c>
    </row>
    <row r="131" spans="1:5" ht="16.5" thickTop="1">
      <c r="A131" s="71" t="s">
        <v>365</v>
      </c>
      <c r="B131" s="71"/>
      <c r="C131" s="88">
        <v>39343716</v>
      </c>
      <c r="D131" s="88"/>
      <c r="E131" s="55"/>
    </row>
    <row r="132" spans="1:5" ht="15.75">
      <c r="A132" s="71"/>
      <c r="B132" s="5" t="s">
        <v>366</v>
      </c>
      <c r="C132" s="146">
        <f>301000*12</f>
        <v>3612000</v>
      </c>
      <c r="D132" s="88"/>
      <c r="E132" s="55"/>
    </row>
    <row r="133" spans="1:5">
      <c r="A133" s="5" t="s">
        <v>1</v>
      </c>
      <c r="B133" s="5" t="s">
        <v>367</v>
      </c>
      <c r="C133" s="55">
        <v>-6000000</v>
      </c>
    </row>
    <row r="134" spans="1:5">
      <c r="B134" s="5" t="s">
        <v>368</v>
      </c>
      <c r="C134" s="55">
        <v>-4800000</v>
      </c>
    </row>
    <row r="135" spans="1:5">
      <c r="B135" s="5" t="s">
        <v>387</v>
      </c>
      <c r="C135" s="55">
        <v>-800000</v>
      </c>
    </row>
  </sheetData>
  <mergeCells count="2">
    <mergeCell ref="A1:D1"/>
    <mergeCell ref="A2:D2"/>
  </mergeCells>
  <phoneticPr fontId="0" type="noConversion"/>
  <pageMargins left="0.59055118110236227" right="0.59055118110236227" top="0.39370078740157483" bottom="0.39370078740157483" header="0" footer="0"/>
  <pageSetup scale="57" orientation="portrait" horizontalDpi="360" verticalDpi="360" r:id="rId1"/>
  <headerFooter alignWithMargins="0"/>
  <rowBreaks count="1" manualBreakCount="1">
    <brk id="82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C1" zoomScale="80" zoomScaleNormal="80" workbookViewId="0">
      <selection activeCell="G32" sqref="G32"/>
    </sheetView>
  </sheetViews>
  <sheetFormatPr baseColWidth="10" defaultColWidth="11.5703125" defaultRowHeight="15"/>
  <cols>
    <col min="1" max="1" width="5.5703125" style="20" hidden="1" customWidth="1"/>
    <col min="2" max="2" width="9" style="20" hidden="1" customWidth="1"/>
    <col min="3" max="3" width="63.42578125" style="20" customWidth="1"/>
    <col min="4" max="4" width="18.42578125" style="37" customWidth="1"/>
    <col min="5" max="5" width="19.5703125" style="20" bestFit="1" customWidth="1"/>
    <col min="6" max="6" width="19.5703125" style="20" customWidth="1"/>
    <col min="7" max="7" width="20.5703125" style="20" customWidth="1"/>
    <col min="8" max="8" width="16.28515625" style="20" bestFit="1" customWidth="1"/>
    <col min="9" max="9" width="17" style="20" customWidth="1"/>
    <col min="10" max="10" width="56.42578125" style="20" customWidth="1"/>
    <col min="11" max="11" width="14.140625" style="20" bestFit="1" customWidth="1"/>
    <col min="12" max="12" width="17.42578125" style="20" bestFit="1" customWidth="1"/>
    <col min="13" max="13" width="18" style="20" bestFit="1" customWidth="1"/>
    <col min="14" max="255" width="11.5703125" style="20"/>
    <col min="256" max="257" width="0" style="20" hidden="1" customWidth="1"/>
    <col min="258" max="258" width="63.42578125" style="20" customWidth="1"/>
    <col min="259" max="259" width="18.42578125" style="20" customWidth="1"/>
    <col min="260" max="261" width="0" style="20" hidden="1" customWidth="1"/>
    <col min="262" max="262" width="19.5703125" style="20" bestFit="1" customWidth="1"/>
    <col min="263" max="263" width="19.5703125" style="20" customWidth="1"/>
    <col min="264" max="264" width="16.28515625" style="20" bestFit="1" customWidth="1"/>
    <col min="265" max="265" width="17" style="20" bestFit="1" customWidth="1"/>
    <col min="266" max="266" width="51" style="20" customWidth="1"/>
    <col min="267" max="267" width="14.140625" style="20" bestFit="1" customWidth="1"/>
    <col min="268" max="268" width="11.5703125" style="20"/>
    <col min="269" max="269" width="18" style="20" bestFit="1" customWidth="1"/>
    <col min="270" max="511" width="11.5703125" style="20"/>
    <col min="512" max="513" width="0" style="20" hidden="1" customWidth="1"/>
    <col min="514" max="514" width="63.42578125" style="20" customWidth="1"/>
    <col min="515" max="515" width="18.42578125" style="20" customWidth="1"/>
    <col min="516" max="517" width="0" style="20" hidden="1" customWidth="1"/>
    <col min="518" max="518" width="19.5703125" style="20" bestFit="1" customWidth="1"/>
    <col min="519" max="519" width="19.5703125" style="20" customWidth="1"/>
    <col min="520" max="520" width="16.28515625" style="20" bestFit="1" customWidth="1"/>
    <col min="521" max="521" width="17" style="20" bestFit="1" customWidth="1"/>
    <col min="522" max="522" width="51" style="20" customWidth="1"/>
    <col min="523" max="523" width="14.140625" style="20" bestFit="1" customWidth="1"/>
    <col min="524" max="524" width="11.5703125" style="20"/>
    <col min="525" max="525" width="18" style="20" bestFit="1" customWidth="1"/>
    <col min="526" max="767" width="11.5703125" style="20"/>
    <col min="768" max="769" width="0" style="20" hidden="1" customWidth="1"/>
    <col min="770" max="770" width="63.42578125" style="20" customWidth="1"/>
    <col min="771" max="771" width="18.42578125" style="20" customWidth="1"/>
    <col min="772" max="773" width="0" style="20" hidden="1" customWidth="1"/>
    <col min="774" max="774" width="19.5703125" style="20" bestFit="1" customWidth="1"/>
    <col min="775" max="775" width="19.5703125" style="20" customWidth="1"/>
    <col min="776" max="776" width="16.28515625" style="20" bestFit="1" customWidth="1"/>
    <col min="777" max="777" width="17" style="20" bestFit="1" customWidth="1"/>
    <col min="778" max="778" width="51" style="20" customWidth="1"/>
    <col min="779" max="779" width="14.140625" style="20" bestFit="1" customWidth="1"/>
    <col min="780" max="780" width="11.5703125" style="20"/>
    <col min="781" max="781" width="18" style="20" bestFit="1" customWidth="1"/>
    <col min="782" max="1023" width="11.5703125" style="20"/>
    <col min="1024" max="1025" width="0" style="20" hidden="1" customWidth="1"/>
    <col min="1026" max="1026" width="63.42578125" style="20" customWidth="1"/>
    <col min="1027" max="1027" width="18.42578125" style="20" customWidth="1"/>
    <col min="1028" max="1029" width="0" style="20" hidden="1" customWidth="1"/>
    <col min="1030" max="1030" width="19.5703125" style="20" bestFit="1" customWidth="1"/>
    <col min="1031" max="1031" width="19.5703125" style="20" customWidth="1"/>
    <col min="1032" max="1032" width="16.28515625" style="20" bestFit="1" customWidth="1"/>
    <col min="1033" max="1033" width="17" style="20" bestFit="1" customWidth="1"/>
    <col min="1034" max="1034" width="51" style="20" customWidth="1"/>
    <col min="1035" max="1035" width="14.140625" style="20" bestFit="1" customWidth="1"/>
    <col min="1036" max="1036" width="11.5703125" style="20"/>
    <col min="1037" max="1037" width="18" style="20" bestFit="1" customWidth="1"/>
    <col min="1038" max="1279" width="11.5703125" style="20"/>
    <col min="1280" max="1281" width="0" style="20" hidden="1" customWidth="1"/>
    <col min="1282" max="1282" width="63.42578125" style="20" customWidth="1"/>
    <col min="1283" max="1283" width="18.42578125" style="20" customWidth="1"/>
    <col min="1284" max="1285" width="0" style="20" hidden="1" customWidth="1"/>
    <col min="1286" max="1286" width="19.5703125" style="20" bestFit="1" customWidth="1"/>
    <col min="1287" max="1287" width="19.5703125" style="20" customWidth="1"/>
    <col min="1288" max="1288" width="16.28515625" style="20" bestFit="1" customWidth="1"/>
    <col min="1289" max="1289" width="17" style="20" bestFit="1" customWidth="1"/>
    <col min="1290" max="1290" width="51" style="20" customWidth="1"/>
    <col min="1291" max="1291" width="14.140625" style="20" bestFit="1" customWidth="1"/>
    <col min="1292" max="1292" width="11.5703125" style="20"/>
    <col min="1293" max="1293" width="18" style="20" bestFit="1" customWidth="1"/>
    <col min="1294" max="1535" width="11.5703125" style="20"/>
    <col min="1536" max="1537" width="0" style="20" hidden="1" customWidth="1"/>
    <col min="1538" max="1538" width="63.42578125" style="20" customWidth="1"/>
    <col min="1539" max="1539" width="18.42578125" style="20" customWidth="1"/>
    <col min="1540" max="1541" width="0" style="20" hidden="1" customWidth="1"/>
    <col min="1542" max="1542" width="19.5703125" style="20" bestFit="1" customWidth="1"/>
    <col min="1543" max="1543" width="19.5703125" style="20" customWidth="1"/>
    <col min="1544" max="1544" width="16.28515625" style="20" bestFit="1" customWidth="1"/>
    <col min="1545" max="1545" width="17" style="20" bestFit="1" customWidth="1"/>
    <col min="1546" max="1546" width="51" style="20" customWidth="1"/>
    <col min="1547" max="1547" width="14.140625" style="20" bestFit="1" customWidth="1"/>
    <col min="1548" max="1548" width="11.5703125" style="20"/>
    <col min="1549" max="1549" width="18" style="20" bestFit="1" customWidth="1"/>
    <col min="1550" max="1791" width="11.5703125" style="20"/>
    <col min="1792" max="1793" width="0" style="20" hidden="1" customWidth="1"/>
    <col min="1794" max="1794" width="63.42578125" style="20" customWidth="1"/>
    <col min="1795" max="1795" width="18.42578125" style="20" customWidth="1"/>
    <col min="1796" max="1797" width="0" style="20" hidden="1" customWidth="1"/>
    <col min="1798" max="1798" width="19.5703125" style="20" bestFit="1" customWidth="1"/>
    <col min="1799" max="1799" width="19.5703125" style="20" customWidth="1"/>
    <col min="1800" max="1800" width="16.28515625" style="20" bestFit="1" customWidth="1"/>
    <col min="1801" max="1801" width="17" style="20" bestFit="1" customWidth="1"/>
    <col min="1802" max="1802" width="51" style="20" customWidth="1"/>
    <col min="1803" max="1803" width="14.140625" style="20" bestFit="1" customWidth="1"/>
    <col min="1804" max="1804" width="11.5703125" style="20"/>
    <col min="1805" max="1805" width="18" style="20" bestFit="1" customWidth="1"/>
    <col min="1806" max="2047" width="11.5703125" style="20"/>
    <col min="2048" max="2049" width="0" style="20" hidden="1" customWidth="1"/>
    <col min="2050" max="2050" width="63.42578125" style="20" customWidth="1"/>
    <col min="2051" max="2051" width="18.42578125" style="20" customWidth="1"/>
    <col min="2052" max="2053" width="0" style="20" hidden="1" customWidth="1"/>
    <col min="2054" max="2054" width="19.5703125" style="20" bestFit="1" customWidth="1"/>
    <col min="2055" max="2055" width="19.5703125" style="20" customWidth="1"/>
    <col min="2056" max="2056" width="16.28515625" style="20" bestFit="1" customWidth="1"/>
    <col min="2057" max="2057" width="17" style="20" bestFit="1" customWidth="1"/>
    <col min="2058" max="2058" width="51" style="20" customWidth="1"/>
    <col min="2059" max="2059" width="14.140625" style="20" bestFit="1" customWidth="1"/>
    <col min="2060" max="2060" width="11.5703125" style="20"/>
    <col min="2061" max="2061" width="18" style="20" bestFit="1" customWidth="1"/>
    <col min="2062" max="2303" width="11.5703125" style="20"/>
    <col min="2304" max="2305" width="0" style="20" hidden="1" customWidth="1"/>
    <col min="2306" max="2306" width="63.42578125" style="20" customWidth="1"/>
    <col min="2307" max="2307" width="18.42578125" style="20" customWidth="1"/>
    <col min="2308" max="2309" width="0" style="20" hidden="1" customWidth="1"/>
    <col min="2310" max="2310" width="19.5703125" style="20" bestFit="1" customWidth="1"/>
    <col min="2311" max="2311" width="19.5703125" style="20" customWidth="1"/>
    <col min="2312" max="2312" width="16.28515625" style="20" bestFit="1" customWidth="1"/>
    <col min="2313" max="2313" width="17" style="20" bestFit="1" customWidth="1"/>
    <col min="2314" max="2314" width="51" style="20" customWidth="1"/>
    <col min="2315" max="2315" width="14.140625" style="20" bestFit="1" customWidth="1"/>
    <col min="2316" max="2316" width="11.5703125" style="20"/>
    <col min="2317" max="2317" width="18" style="20" bestFit="1" customWidth="1"/>
    <col min="2318" max="2559" width="11.5703125" style="20"/>
    <col min="2560" max="2561" width="0" style="20" hidden="1" customWidth="1"/>
    <col min="2562" max="2562" width="63.42578125" style="20" customWidth="1"/>
    <col min="2563" max="2563" width="18.42578125" style="20" customWidth="1"/>
    <col min="2564" max="2565" width="0" style="20" hidden="1" customWidth="1"/>
    <col min="2566" max="2566" width="19.5703125" style="20" bestFit="1" customWidth="1"/>
    <col min="2567" max="2567" width="19.5703125" style="20" customWidth="1"/>
    <col min="2568" max="2568" width="16.28515625" style="20" bestFit="1" customWidth="1"/>
    <col min="2569" max="2569" width="17" style="20" bestFit="1" customWidth="1"/>
    <col min="2570" max="2570" width="51" style="20" customWidth="1"/>
    <col min="2571" max="2571" width="14.140625" style="20" bestFit="1" customWidth="1"/>
    <col min="2572" max="2572" width="11.5703125" style="20"/>
    <col min="2573" max="2573" width="18" style="20" bestFit="1" customWidth="1"/>
    <col min="2574" max="2815" width="11.5703125" style="20"/>
    <col min="2816" max="2817" width="0" style="20" hidden="1" customWidth="1"/>
    <col min="2818" max="2818" width="63.42578125" style="20" customWidth="1"/>
    <col min="2819" max="2819" width="18.42578125" style="20" customWidth="1"/>
    <col min="2820" max="2821" width="0" style="20" hidden="1" customWidth="1"/>
    <col min="2822" max="2822" width="19.5703125" style="20" bestFit="1" customWidth="1"/>
    <col min="2823" max="2823" width="19.5703125" style="20" customWidth="1"/>
    <col min="2824" max="2824" width="16.28515625" style="20" bestFit="1" customWidth="1"/>
    <col min="2825" max="2825" width="17" style="20" bestFit="1" customWidth="1"/>
    <col min="2826" max="2826" width="51" style="20" customWidth="1"/>
    <col min="2827" max="2827" width="14.140625" style="20" bestFit="1" customWidth="1"/>
    <col min="2828" max="2828" width="11.5703125" style="20"/>
    <col min="2829" max="2829" width="18" style="20" bestFit="1" customWidth="1"/>
    <col min="2830" max="3071" width="11.5703125" style="20"/>
    <col min="3072" max="3073" width="0" style="20" hidden="1" customWidth="1"/>
    <col min="3074" max="3074" width="63.42578125" style="20" customWidth="1"/>
    <col min="3075" max="3075" width="18.42578125" style="20" customWidth="1"/>
    <col min="3076" max="3077" width="0" style="20" hidden="1" customWidth="1"/>
    <col min="3078" max="3078" width="19.5703125" style="20" bestFit="1" customWidth="1"/>
    <col min="3079" max="3079" width="19.5703125" style="20" customWidth="1"/>
    <col min="3080" max="3080" width="16.28515625" style="20" bestFit="1" customWidth="1"/>
    <col min="3081" max="3081" width="17" style="20" bestFit="1" customWidth="1"/>
    <col min="3082" max="3082" width="51" style="20" customWidth="1"/>
    <col min="3083" max="3083" width="14.140625" style="20" bestFit="1" customWidth="1"/>
    <col min="3084" max="3084" width="11.5703125" style="20"/>
    <col min="3085" max="3085" width="18" style="20" bestFit="1" customWidth="1"/>
    <col min="3086" max="3327" width="11.5703125" style="20"/>
    <col min="3328" max="3329" width="0" style="20" hidden="1" customWidth="1"/>
    <col min="3330" max="3330" width="63.42578125" style="20" customWidth="1"/>
    <col min="3331" max="3331" width="18.42578125" style="20" customWidth="1"/>
    <col min="3332" max="3333" width="0" style="20" hidden="1" customWidth="1"/>
    <col min="3334" max="3334" width="19.5703125" style="20" bestFit="1" customWidth="1"/>
    <col min="3335" max="3335" width="19.5703125" style="20" customWidth="1"/>
    <col min="3336" max="3336" width="16.28515625" style="20" bestFit="1" customWidth="1"/>
    <col min="3337" max="3337" width="17" style="20" bestFit="1" customWidth="1"/>
    <col min="3338" max="3338" width="51" style="20" customWidth="1"/>
    <col min="3339" max="3339" width="14.140625" style="20" bestFit="1" customWidth="1"/>
    <col min="3340" max="3340" width="11.5703125" style="20"/>
    <col min="3341" max="3341" width="18" style="20" bestFit="1" customWidth="1"/>
    <col min="3342" max="3583" width="11.5703125" style="20"/>
    <col min="3584" max="3585" width="0" style="20" hidden="1" customWidth="1"/>
    <col min="3586" max="3586" width="63.42578125" style="20" customWidth="1"/>
    <col min="3587" max="3587" width="18.42578125" style="20" customWidth="1"/>
    <col min="3588" max="3589" width="0" style="20" hidden="1" customWidth="1"/>
    <col min="3590" max="3590" width="19.5703125" style="20" bestFit="1" customWidth="1"/>
    <col min="3591" max="3591" width="19.5703125" style="20" customWidth="1"/>
    <col min="3592" max="3592" width="16.28515625" style="20" bestFit="1" customWidth="1"/>
    <col min="3593" max="3593" width="17" style="20" bestFit="1" customWidth="1"/>
    <col min="3594" max="3594" width="51" style="20" customWidth="1"/>
    <col min="3595" max="3595" width="14.140625" style="20" bestFit="1" customWidth="1"/>
    <col min="3596" max="3596" width="11.5703125" style="20"/>
    <col min="3597" max="3597" width="18" style="20" bestFit="1" customWidth="1"/>
    <col min="3598" max="3839" width="11.5703125" style="20"/>
    <col min="3840" max="3841" width="0" style="20" hidden="1" customWidth="1"/>
    <col min="3842" max="3842" width="63.42578125" style="20" customWidth="1"/>
    <col min="3843" max="3843" width="18.42578125" style="20" customWidth="1"/>
    <col min="3844" max="3845" width="0" style="20" hidden="1" customWidth="1"/>
    <col min="3846" max="3846" width="19.5703125" style="20" bestFit="1" customWidth="1"/>
    <col min="3847" max="3847" width="19.5703125" style="20" customWidth="1"/>
    <col min="3848" max="3848" width="16.28515625" style="20" bestFit="1" customWidth="1"/>
    <col min="3849" max="3849" width="17" style="20" bestFit="1" customWidth="1"/>
    <col min="3850" max="3850" width="51" style="20" customWidth="1"/>
    <col min="3851" max="3851" width="14.140625" style="20" bestFit="1" customWidth="1"/>
    <col min="3852" max="3852" width="11.5703125" style="20"/>
    <col min="3853" max="3853" width="18" style="20" bestFit="1" customWidth="1"/>
    <col min="3854" max="4095" width="11.5703125" style="20"/>
    <col min="4096" max="4097" width="0" style="20" hidden="1" customWidth="1"/>
    <col min="4098" max="4098" width="63.42578125" style="20" customWidth="1"/>
    <col min="4099" max="4099" width="18.42578125" style="20" customWidth="1"/>
    <col min="4100" max="4101" width="0" style="20" hidden="1" customWidth="1"/>
    <col min="4102" max="4102" width="19.5703125" style="20" bestFit="1" customWidth="1"/>
    <col min="4103" max="4103" width="19.5703125" style="20" customWidth="1"/>
    <col min="4104" max="4104" width="16.28515625" style="20" bestFit="1" customWidth="1"/>
    <col min="4105" max="4105" width="17" style="20" bestFit="1" customWidth="1"/>
    <col min="4106" max="4106" width="51" style="20" customWidth="1"/>
    <col min="4107" max="4107" width="14.140625" style="20" bestFit="1" customWidth="1"/>
    <col min="4108" max="4108" width="11.5703125" style="20"/>
    <col min="4109" max="4109" width="18" style="20" bestFit="1" customWidth="1"/>
    <col min="4110" max="4351" width="11.5703125" style="20"/>
    <col min="4352" max="4353" width="0" style="20" hidden="1" customWidth="1"/>
    <col min="4354" max="4354" width="63.42578125" style="20" customWidth="1"/>
    <col min="4355" max="4355" width="18.42578125" style="20" customWidth="1"/>
    <col min="4356" max="4357" width="0" style="20" hidden="1" customWidth="1"/>
    <col min="4358" max="4358" width="19.5703125" style="20" bestFit="1" customWidth="1"/>
    <col min="4359" max="4359" width="19.5703125" style="20" customWidth="1"/>
    <col min="4360" max="4360" width="16.28515625" style="20" bestFit="1" customWidth="1"/>
    <col min="4361" max="4361" width="17" style="20" bestFit="1" customWidth="1"/>
    <col min="4362" max="4362" width="51" style="20" customWidth="1"/>
    <col min="4363" max="4363" width="14.140625" style="20" bestFit="1" customWidth="1"/>
    <col min="4364" max="4364" width="11.5703125" style="20"/>
    <col min="4365" max="4365" width="18" style="20" bestFit="1" customWidth="1"/>
    <col min="4366" max="4607" width="11.5703125" style="20"/>
    <col min="4608" max="4609" width="0" style="20" hidden="1" customWidth="1"/>
    <col min="4610" max="4610" width="63.42578125" style="20" customWidth="1"/>
    <col min="4611" max="4611" width="18.42578125" style="20" customWidth="1"/>
    <col min="4612" max="4613" width="0" style="20" hidden="1" customWidth="1"/>
    <col min="4614" max="4614" width="19.5703125" style="20" bestFit="1" customWidth="1"/>
    <col min="4615" max="4615" width="19.5703125" style="20" customWidth="1"/>
    <col min="4616" max="4616" width="16.28515625" style="20" bestFit="1" customWidth="1"/>
    <col min="4617" max="4617" width="17" style="20" bestFit="1" customWidth="1"/>
    <col min="4618" max="4618" width="51" style="20" customWidth="1"/>
    <col min="4619" max="4619" width="14.140625" style="20" bestFit="1" customWidth="1"/>
    <col min="4620" max="4620" width="11.5703125" style="20"/>
    <col min="4621" max="4621" width="18" style="20" bestFit="1" customWidth="1"/>
    <col min="4622" max="4863" width="11.5703125" style="20"/>
    <col min="4864" max="4865" width="0" style="20" hidden="1" customWidth="1"/>
    <col min="4866" max="4866" width="63.42578125" style="20" customWidth="1"/>
    <col min="4867" max="4867" width="18.42578125" style="20" customWidth="1"/>
    <col min="4868" max="4869" width="0" style="20" hidden="1" customWidth="1"/>
    <col min="4870" max="4870" width="19.5703125" style="20" bestFit="1" customWidth="1"/>
    <col min="4871" max="4871" width="19.5703125" style="20" customWidth="1"/>
    <col min="4872" max="4872" width="16.28515625" style="20" bestFit="1" customWidth="1"/>
    <col min="4873" max="4873" width="17" style="20" bestFit="1" customWidth="1"/>
    <col min="4874" max="4874" width="51" style="20" customWidth="1"/>
    <col min="4875" max="4875" width="14.140625" style="20" bestFit="1" customWidth="1"/>
    <col min="4876" max="4876" width="11.5703125" style="20"/>
    <col min="4877" max="4877" width="18" style="20" bestFit="1" customWidth="1"/>
    <col min="4878" max="5119" width="11.5703125" style="20"/>
    <col min="5120" max="5121" width="0" style="20" hidden="1" customWidth="1"/>
    <col min="5122" max="5122" width="63.42578125" style="20" customWidth="1"/>
    <col min="5123" max="5123" width="18.42578125" style="20" customWidth="1"/>
    <col min="5124" max="5125" width="0" style="20" hidden="1" customWidth="1"/>
    <col min="5126" max="5126" width="19.5703125" style="20" bestFit="1" customWidth="1"/>
    <col min="5127" max="5127" width="19.5703125" style="20" customWidth="1"/>
    <col min="5128" max="5128" width="16.28515625" style="20" bestFit="1" customWidth="1"/>
    <col min="5129" max="5129" width="17" style="20" bestFit="1" customWidth="1"/>
    <col min="5130" max="5130" width="51" style="20" customWidth="1"/>
    <col min="5131" max="5131" width="14.140625" style="20" bestFit="1" customWidth="1"/>
    <col min="5132" max="5132" width="11.5703125" style="20"/>
    <col min="5133" max="5133" width="18" style="20" bestFit="1" customWidth="1"/>
    <col min="5134" max="5375" width="11.5703125" style="20"/>
    <col min="5376" max="5377" width="0" style="20" hidden="1" customWidth="1"/>
    <col min="5378" max="5378" width="63.42578125" style="20" customWidth="1"/>
    <col min="5379" max="5379" width="18.42578125" style="20" customWidth="1"/>
    <col min="5380" max="5381" width="0" style="20" hidden="1" customWidth="1"/>
    <col min="5382" max="5382" width="19.5703125" style="20" bestFit="1" customWidth="1"/>
    <col min="5383" max="5383" width="19.5703125" style="20" customWidth="1"/>
    <col min="5384" max="5384" width="16.28515625" style="20" bestFit="1" customWidth="1"/>
    <col min="5385" max="5385" width="17" style="20" bestFit="1" customWidth="1"/>
    <col min="5386" max="5386" width="51" style="20" customWidth="1"/>
    <col min="5387" max="5387" width="14.140625" style="20" bestFit="1" customWidth="1"/>
    <col min="5388" max="5388" width="11.5703125" style="20"/>
    <col min="5389" max="5389" width="18" style="20" bestFit="1" customWidth="1"/>
    <col min="5390" max="5631" width="11.5703125" style="20"/>
    <col min="5632" max="5633" width="0" style="20" hidden="1" customWidth="1"/>
    <col min="5634" max="5634" width="63.42578125" style="20" customWidth="1"/>
    <col min="5635" max="5635" width="18.42578125" style="20" customWidth="1"/>
    <col min="5636" max="5637" width="0" style="20" hidden="1" customWidth="1"/>
    <col min="5638" max="5638" width="19.5703125" style="20" bestFit="1" customWidth="1"/>
    <col min="5639" max="5639" width="19.5703125" style="20" customWidth="1"/>
    <col min="5640" max="5640" width="16.28515625" style="20" bestFit="1" customWidth="1"/>
    <col min="5641" max="5641" width="17" style="20" bestFit="1" customWidth="1"/>
    <col min="5642" max="5642" width="51" style="20" customWidth="1"/>
    <col min="5643" max="5643" width="14.140625" style="20" bestFit="1" customWidth="1"/>
    <col min="5644" max="5644" width="11.5703125" style="20"/>
    <col min="5645" max="5645" width="18" style="20" bestFit="1" customWidth="1"/>
    <col min="5646" max="5887" width="11.5703125" style="20"/>
    <col min="5888" max="5889" width="0" style="20" hidden="1" customWidth="1"/>
    <col min="5890" max="5890" width="63.42578125" style="20" customWidth="1"/>
    <col min="5891" max="5891" width="18.42578125" style="20" customWidth="1"/>
    <col min="5892" max="5893" width="0" style="20" hidden="1" customWidth="1"/>
    <col min="5894" max="5894" width="19.5703125" style="20" bestFit="1" customWidth="1"/>
    <col min="5895" max="5895" width="19.5703125" style="20" customWidth="1"/>
    <col min="5896" max="5896" width="16.28515625" style="20" bestFit="1" customWidth="1"/>
    <col min="5897" max="5897" width="17" style="20" bestFit="1" customWidth="1"/>
    <col min="5898" max="5898" width="51" style="20" customWidth="1"/>
    <col min="5899" max="5899" width="14.140625" style="20" bestFit="1" customWidth="1"/>
    <col min="5900" max="5900" width="11.5703125" style="20"/>
    <col min="5901" max="5901" width="18" style="20" bestFit="1" customWidth="1"/>
    <col min="5902" max="6143" width="11.5703125" style="20"/>
    <col min="6144" max="6145" width="0" style="20" hidden="1" customWidth="1"/>
    <col min="6146" max="6146" width="63.42578125" style="20" customWidth="1"/>
    <col min="6147" max="6147" width="18.42578125" style="20" customWidth="1"/>
    <col min="6148" max="6149" width="0" style="20" hidden="1" customWidth="1"/>
    <col min="6150" max="6150" width="19.5703125" style="20" bestFit="1" customWidth="1"/>
    <col min="6151" max="6151" width="19.5703125" style="20" customWidth="1"/>
    <col min="6152" max="6152" width="16.28515625" style="20" bestFit="1" customWidth="1"/>
    <col min="6153" max="6153" width="17" style="20" bestFit="1" customWidth="1"/>
    <col min="6154" max="6154" width="51" style="20" customWidth="1"/>
    <col min="6155" max="6155" width="14.140625" style="20" bestFit="1" customWidth="1"/>
    <col min="6156" max="6156" width="11.5703125" style="20"/>
    <col min="6157" max="6157" width="18" style="20" bestFit="1" customWidth="1"/>
    <col min="6158" max="6399" width="11.5703125" style="20"/>
    <col min="6400" max="6401" width="0" style="20" hidden="1" customWidth="1"/>
    <col min="6402" max="6402" width="63.42578125" style="20" customWidth="1"/>
    <col min="6403" max="6403" width="18.42578125" style="20" customWidth="1"/>
    <col min="6404" max="6405" width="0" style="20" hidden="1" customWidth="1"/>
    <col min="6406" max="6406" width="19.5703125" style="20" bestFit="1" customWidth="1"/>
    <col min="6407" max="6407" width="19.5703125" style="20" customWidth="1"/>
    <col min="6408" max="6408" width="16.28515625" style="20" bestFit="1" customWidth="1"/>
    <col min="6409" max="6409" width="17" style="20" bestFit="1" customWidth="1"/>
    <col min="6410" max="6410" width="51" style="20" customWidth="1"/>
    <col min="6411" max="6411" width="14.140625" style="20" bestFit="1" customWidth="1"/>
    <col min="6412" max="6412" width="11.5703125" style="20"/>
    <col min="6413" max="6413" width="18" style="20" bestFit="1" customWidth="1"/>
    <col min="6414" max="6655" width="11.5703125" style="20"/>
    <col min="6656" max="6657" width="0" style="20" hidden="1" customWidth="1"/>
    <col min="6658" max="6658" width="63.42578125" style="20" customWidth="1"/>
    <col min="6659" max="6659" width="18.42578125" style="20" customWidth="1"/>
    <col min="6660" max="6661" width="0" style="20" hidden="1" customWidth="1"/>
    <col min="6662" max="6662" width="19.5703125" style="20" bestFit="1" customWidth="1"/>
    <col min="6663" max="6663" width="19.5703125" style="20" customWidth="1"/>
    <col min="6664" max="6664" width="16.28515625" style="20" bestFit="1" customWidth="1"/>
    <col min="6665" max="6665" width="17" style="20" bestFit="1" customWidth="1"/>
    <col min="6666" max="6666" width="51" style="20" customWidth="1"/>
    <col min="6667" max="6667" width="14.140625" style="20" bestFit="1" customWidth="1"/>
    <col min="6668" max="6668" width="11.5703125" style="20"/>
    <col min="6669" max="6669" width="18" style="20" bestFit="1" customWidth="1"/>
    <col min="6670" max="6911" width="11.5703125" style="20"/>
    <col min="6912" max="6913" width="0" style="20" hidden="1" customWidth="1"/>
    <col min="6914" max="6914" width="63.42578125" style="20" customWidth="1"/>
    <col min="6915" max="6915" width="18.42578125" style="20" customWidth="1"/>
    <col min="6916" max="6917" width="0" style="20" hidden="1" customWidth="1"/>
    <col min="6918" max="6918" width="19.5703125" style="20" bestFit="1" customWidth="1"/>
    <col min="6919" max="6919" width="19.5703125" style="20" customWidth="1"/>
    <col min="6920" max="6920" width="16.28515625" style="20" bestFit="1" customWidth="1"/>
    <col min="6921" max="6921" width="17" style="20" bestFit="1" customWidth="1"/>
    <col min="6922" max="6922" width="51" style="20" customWidth="1"/>
    <col min="6923" max="6923" width="14.140625" style="20" bestFit="1" customWidth="1"/>
    <col min="6924" max="6924" width="11.5703125" style="20"/>
    <col min="6925" max="6925" width="18" style="20" bestFit="1" customWidth="1"/>
    <col min="6926" max="7167" width="11.5703125" style="20"/>
    <col min="7168" max="7169" width="0" style="20" hidden="1" customWidth="1"/>
    <col min="7170" max="7170" width="63.42578125" style="20" customWidth="1"/>
    <col min="7171" max="7171" width="18.42578125" style="20" customWidth="1"/>
    <col min="7172" max="7173" width="0" style="20" hidden="1" customWidth="1"/>
    <col min="7174" max="7174" width="19.5703125" style="20" bestFit="1" customWidth="1"/>
    <col min="7175" max="7175" width="19.5703125" style="20" customWidth="1"/>
    <col min="7176" max="7176" width="16.28515625" style="20" bestFit="1" customWidth="1"/>
    <col min="7177" max="7177" width="17" style="20" bestFit="1" customWidth="1"/>
    <col min="7178" max="7178" width="51" style="20" customWidth="1"/>
    <col min="7179" max="7179" width="14.140625" style="20" bestFit="1" customWidth="1"/>
    <col min="7180" max="7180" width="11.5703125" style="20"/>
    <col min="7181" max="7181" width="18" style="20" bestFit="1" customWidth="1"/>
    <col min="7182" max="7423" width="11.5703125" style="20"/>
    <col min="7424" max="7425" width="0" style="20" hidden="1" customWidth="1"/>
    <col min="7426" max="7426" width="63.42578125" style="20" customWidth="1"/>
    <col min="7427" max="7427" width="18.42578125" style="20" customWidth="1"/>
    <col min="7428" max="7429" width="0" style="20" hidden="1" customWidth="1"/>
    <col min="7430" max="7430" width="19.5703125" style="20" bestFit="1" customWidth="1"/>
    <col min="7431" max="7431" width="19.5703125" style="20" customWidth="1"/>
    <col min="7432" max="7432" width="16.28515625" style="20" bestFit="1" customWidth="1"/>
    <col min="7433" max="7433" width="17" style="20" bestFit="1" customWidth="1"/>
    <col min="7434" max="7434" width="51" style="20" customWidth="1"/>
    <col min="7435" max="7435" width="14.140625" style="20" bestFit="1" customWidth="1"/>
    <col min="7436" max="7436" width="11.5703125" style="20"/>
    <col min="7437" max="7437" width="18" style="20" bestFit="1" customWidth="1"/>
    <col min="7438" max="7679" width="11.5703125" style="20"/>
    <col min="7680" max="7681" width="0" style="20" hidden="1" customWidth="1"/>
    <col min="7682" max="7682" width="63.42578125" style="20" customWidth="1"/>
    <col min="7683" max="7683" width="18.42578125" style="20" customWidth="1"/>
    <col min="7684" max="7685" width="0" style="20" hidden="1" customWidth="1"/>
    <col min="7686" max="7686" width="19.5703125" style="20" bestFit="1" customWidth="1"/>
    <col min="7687" max="7687" width="19.5703125" style="20" customWidth="1"/>
    <col min="7688" max="7688" width="16.28515625" style="20" bestFit="1" customWidth="1"/>
    <col min="7689" max="7689" width="17" style="20" bestFit="1" customWidth="1"/>
    <col min="7690" max="7690" width="51" style="20" customWidth="1"/>
    <col min="7691" max="7691" width="14.140625" style="20" bestFit="1" customWidth="1"/>
    <col min="7692" max="7692" width="11.5703125" style="20"/>
    <col min="7693" max="7693" width="18" style="20" bestFit="1" customWidth="1"/>
    <col min="7694" max="7935" width="11.5703125" style="20"/>
    <col min="7936" max="7937" width="0" style="20" hidden="1" customWidth="1"/>
    <col min="7938" max="7938" width="63.42578125" style="20" customWidth="1"/>
    <col min="7939" max="7939" width="18.42578125" style="20" customWidth="1"/>
    <col min="7940" max="7941" width="0" style="20" hidden="1" customWidth="1"/>
    <col min="7942" max="7942" width="19.5703125" style="20" bestFit="1" customWidth="1"/>
    <col min="7943" max="7943" width="19.5703125" style="20" customWidth="1"/>
    <col min="7944" max="7944" width="16.28515625" style="20" bestFit="1" customWidth="1"/>
    <col min="7945" max="7945" width="17" style="20" bestFit="1" customWidth="1"/>
    <col min="7946" max="7946" width="51" style="20" customWidth="1"/>
    <col min="7947" max="7947" width="14.140625" style="20" bestFit="1" customWidth="1"/>
    <col min="7948" max="7948" width="11.5703125" style="20"/>
    <col min="7949" max="7949" width="18" style="20" bestFit="1" customWidth="1"/>
    <col min="7950" max="8191" width="11.5703125" style="20"/>
    <col min="8192" max="8193" width="0" style="20" hidden="1" customWidth="1"/>
    <col min="8194" max="8194" width="63.42578125" style="20" customWidth="1"/>
    <col min="8195" max="8195" width="18.42578125" style="20" customWidth="1"/>
    <col min="8196" max="8197" width="0" style="20" hidden="1" customWidth="1"/>
    <col min="8198" max="8198" width="19.5703125" style="20" bestFit="1" customWidth="1"/>
    <col min="8199" max="8199" width="19.5703125" style="20" customWidth="1"/>
    <col min="8200" max="8200" width="16.28515625" style="20" bestFit="1" customWidth="1"/>
    <col min="8201" max="8201" width="17" style="20" bestFit="1" customWidth="1"/>
    <col min="8202" max="8202" width="51" style="20" customWidth="1"/>
    <col min="8203" max="8203" width="14.140625" style="20" bestFit="1" customWidth="1"/>
    <col min="8204" max="8204" width="11.5703125" style="20"/>
    <col min="8205" max="8205" width="18" style="20" bestFit="1" customWidth="1"/>
    <col min="8206" max="8447" width="11.5703125" style="20"/>
    <col min="8448" max="8449" width="0" style="20" hidden="1" customWidth="1"/>
    <col min="8450" max="8450" width="63.42578125" style="20" customWidth="1"/>
    <col min="8451" max="8451" width="18.42578125" style="20" customWidth="1"/>
    <col min="8452" max="8453" width="0" style="20" hidden="1" customWidth="1"/>
    <col min="8454" max="8454" width="19.5703125" style="20" bestFit="1" customWidth="1"/>
    <col min="8455" max="8455" width="19.5703125" style="20" customWidth="1"/>
    <col min="8456" max="8456" width="16.28515625" style="20" bestFit="1" customWidth="1"/>
    <col min="8457" max="8457" width="17" style="20" bestFit="1" customWidth="1"/>
    <col min="8458" max="8458" width="51" style="20" customWidth="1"/>
    <col min="8459" max="8459" width="14.140625" style="20" bestFit="1" customWidth="1"/>
    <col min="8460" max="8460" width="11.5703125" style="20"/>
    <col min="8461" max="8461" width="18" style="20" bestFit="1" customWidth="1"/>
    <col min="8462" max="8703" width="11.5703125" style="20"/>
    <col min="8704" max="8705" width="0" style="20" hidden="1" customWidth="1"/>
    <col min="8706" max="8706" width="63.42578125" style="20" customWidth="1"/>
    <col min="8707" max="8707" width="18.42578125" style="20" customWidth="1"/>
    <col min="8708" max="8709" width="0" style="20" hidden="1" customWidth="1"/>
    <col min="8710" max="8710" width="19.5703125" style="20" bestFit="1" customWidth="1"/>
    <col min="8711" max="8711" width="19.5703125" style="20" customWidth="1"/>
    <col min="8712" max="8712" width="16.28515625" style="20" bestFit="1" customWidth="1"/>
    <col min="8713" max="8713" width="17" style="20" bestFit="1" customWidth="1"/>
    <col min="8714" max="8714" width="51" style="20" customWidth="1"/>
    <col min="8715" max="8715" width="14.140625" style="20" bestFit="1" customWidth="1"/>
    <col min="8716" max="8716" width="11.5703125" style="20"/>
    <col min="8717" max="8717" width="18" style="20" bestFit="1" customWidth="1"/>
    <col min="8718" max="8959" width="11.5703125" style="20"/>
    <col min="8960" max="8961" width="0" style="20" hidden="1" customWidth="1"/>
    <col min="8962" max="8962" width="63.42578125" style="20" customWidth="1"/>
    <col min="8963" max="8963" width="18.42578125" style="20" customWidth="1"/>
    <col min="8964" max="8965" width="0" style="20" hidden="1" customWidth="1"/>
    <col min="8966" max="8966" width="19.5703125" style="20" bestFit="1" customWidth="1"/>
    <col min="8967" max="8967" width="19.5703125" style="20" customWidth="1"/>
    <col min="8968" max="8968" width="16.28515625" style="20" bestFit="1" customWidth="1"/>
    <col min="8969" max="8969" width="17" style="20" bestFit="1" customWidth="1"/>
    <col min="8970" max="8970" width="51" style="20" customWidth="1"/>
    <col min="8971" max="8971" width="14.140625" style="20" bestFit="1" customWidth="1"/>
    <col min="8972" max="8972" width="11.5703125" style="20"/>
    <col min="8973" max="8973" width="18" style="20" bestFit="1" customWidth="1"/>
    <col min="8974" max="9215" width="11.5703125" style="20"/>
    <col min="9216" max="9217" width="0" style="20" hidden="1" customWidth="1"/>
    <col min="9218" max="9218" width="63.42578125" style="20" customWidth="1"/>
    <col min="9219" max="9219" width="18.42578125" style="20" customWidth="1"/>
    <col min="9220" max="9221" width="0" style="20" hidden="1" customWidth="1"/>
    <col min="9222" max="9222" width="19.5703125" style="20" bestFit="1" customWidth="1"/>
    <col min="9223" max="9223" width="19.5703125" style="20" customWidth="1"/>
    <col min="9224" max="9224" width="16.28515625" style="20" bestFit="1" customWidth="1"/>
    <col min="9225" max="9225" width="17" style="20" bestFit="1" customWidth="1"/>
    <col min="9226" max="9226" width="51" style="20" customWidth="1"/>
    <col min="9227" max="9227" width="14.140625" style="20" bestFit="1" customWidth="1"/>
    <col min="9228" max="9228" width="11.5703125" style="20"/>
    <col min="9229" max="9229" width="18" style="20" bestFit="1" customWidth="1"/>
    <col min="9230" max="9471" width="11.5703125" style="20"/>
    <col min="9472" max="9473" width="0" style="20" hidden="1" customWidth="1"/>
    <col min="9474" max="9474" width="63.42578125" style="20" customWidth="1"/>
    <col min="9475" max="9475" width="18.42578125" style="20" customWidth="1"/>
    <col min="9476" max="9477" width="0" style="20" hidden="1" customWidth="1"/>
    <col min="9478" max="9478" width="19.5703125" style="20" bestFit="1" customWidth="1"/>
    <col min="9479" max="9479" width="19.5703125" style="20" customWidth="1"/>
    <col min="9480" max="9480" width="16.28515625" style="20" bestFit="1" customWidth="1"/>
    <col min="9481" max="9481" width="17" style="20" bestFit="1" customWidth="1"/>
    <col min="9482" max="9482" width="51" style="20" customWidth="1"/>
    <col min="9483" max="9483" width="14.140625" style="20" bestFit="1" customWidth="1"/>
    <col min="9484" max="9484" width="11.5703125" style="20"/>
    <col min="9485" max="9485" width="18" style="20" bestFit="1" customWidth="1"/>
    <col min="9486" max="9727" width="11.5703125" style="20"/>
    <col min="9728" max="9729" width="0" style="20" hidden="1" customWidth="1"/>
    <col min="9730" max="9730" width="63.42578125" style="20" customWidth="1"/>
    <col min="9731" max="9731" width="18.42578125" style="20" customWidth="1"/>
    <col min="9732" max="9733" width="0" style="20" hidden="1" customWidth="1"/>
    <col min="9734" max="9734" width="19.5703125" style="20" bestFit="1" customWidth="1"/>
    <col min="9735" max="9735" width="19.5703125" style="20" customWidth="1"/>
    <col min="9736" max="9736" width="16.28515625" style="20" bestFit="1" customWidth="1"/>
    <col min="9737" max="9737" width="17" style="20" bestFit="1" customWidth="1"/>
    <col min="9738" max="9738" width="51" style="20" customWidth="1"/>
    <col min="9739" max="9739" width="14.140625" style="20" bestFit="1" customWidth="1"/>
    <col min="9740" max="9740" width="11.5703125" style="20"/>
    <col min="9741" max="9741" width="18" style="20" bestFit="1" customWidth="1"/>
    <col min="9742" max="9983" width="11.5703125" style="20"/>
    <col min="9984" max="9985" width="0" style="20" hidden="1" customWidth="1"/>
    <col min="9986" max="9986" width="63.42578125" style="20" customWidth="1"/>
    <col min="9987" max="9987" width="18.42578125" style="20" customWidth="1"/>
    <col min="9988" max="9989" width="0" style="20" hidden="1" customWidth="1"/>
    <col min="9990" max="9990" width="19.5703125" style="20" bestFit="1" customWidth="1"/>
    <col min="9991" max="9991" width="19.5703125" style="20" customWidth="1"/>
    <col min="9992" max="9992" width="16.28515625" style="20" bestFit="1" customWidth="1"/>
    <col min="9993" max="9993" width="17" style="20" bestFit="1" customWidth="1"/>
    <col min="9994" max="9994" width="51" style="20" customWidth="1"/>
    <col min="9995" max="9995" width="14.140625" style="20" bestFit="1" customWidth="1"/>
    <col min="9996" max="9996" width="11.5703125" style="20"/>
    <col min="9997" max="9997" width="18" style="20" bestFit="1" customWidth="1"/>
    <col min="9998" max="10239" width="11.5703125" style="20"/>
    <col min="10240" max="10241" width="0" style="20" hidden="1" customWidth="1"/>
    <col min="10242" max="10242" width="63.42578125" style="20" customWidth="1"/>
    <col min="10243" max="10243" width="18.42578125" style="20" customWidth="1"/>
    <col min="10244" max="10245" width="0" style="20" hidden="1" customWidth="1"/>
    <col min="10246" max="10246" width="19.5703125" style="20" bestFit="1" customWidth="1"/>
    <col min="10247" max="10247" width="19.5703125" style="20" customWidth="1"/>
    <col min="10248" max="10248" width="16.28515625" style="20" bestFit="1" customWidth="1"/>
    <col min="10249" max="10249" width="17" style="20" bestFit="1" customWidth="1"/>
    <col min="10250" max="10250" width="51" style="20" customWidth="1"/>
    <col min="10251" max="10251" width="14.140625" style="20" bestFit="1" customWidth="1"/>
    <col min="10252" max="10252" width="11.5703125" style="20"/>
    <col min="10253" max="10253" width="18" style="20" bestFit="1" customWidth="1"/>
    <col min="10254" max="10495" width="11.5703125" style="20"/>
    <col min="10496" max="10497" width="0" style="20" hidden="1" customWidth="1"/>
    <col min="10498" max="10498" width="63.42578125" style="20" customWidth="1"/>
    <col min="10499" max="10499" width="18.42578125" style="20" customWidth="1"/>
    <col min="10500" max="10501" width="0" style="20" hidden="1" customWidth="1"/>
    <col min="10502" max="10502" width="19.5703125" style="20" bestFit="1" customWidth="1"/>
    <col min="10503" max="10503" width="19.5703125" style="20" customWidth="1"/>
    <col min="10504" max="10504" width="16.28515625" style="20" bestFit="1" customWidth="1"/>
    <col min="10505" max="10505" width="17" style="20" bestFit="1" customWidth="1"/>
    <col min="10506" max="10506" width="51" style="20" customWidth="1"/>
    <col min="10507" max="10507" width="14.140625" style="20" bestFit="1" customWidth="1"/>
    <col min="10508" max="10508" width="11.5703125" style="20"/>
    <col min="10509" max="10509" width="18" style="20" bestFit="1" customWidth="1"/>
    <col min="10510" max="10751" width="11.5703125" style="20"/>
    <col min="10752" max="10753" width="0" style="20" hidden="1" customWidth="1"/>
    <col min="10754" max="10754" width="63.42578125" style="20" customWidth="1"/>
    <col min="10755" max="10755" width="18.42578125" style="20" customWidth="1"/>
    <col min="10756" max="10757" width="0" style="20" hidden="1" customWidth="1"/>
    <col min="10758" max="10758" width="19.5703125" style="20" bestFit="1" customWidth="1"/>
    <col min="10759" max="10759" width="19.5703125" style="20" customWidth="1"/>
    <col min="10760" max="10760" width="16.28515625" style="20" bestFit="1" customWidth="1"/>
    <col min="10761" max="10761" width="17" style="20" bestFit="1" customWidth="1"/>
    <col min="10762" max="10762" width="51" style="20" customWidth="1"/>
    <col min="10763" max="10763" width="14.140625" style="20" bestFit="1" customWidth="1"/>
    <col min="10764" max="10764" width="11.5703125" style="20"/>
    <col min="10765" max="10765" width="18" style="20" bestFit="1" customWidth="1"/>
    <col min="10766" max="11007" width="11.5703125" style="20"/>
    <col min="11008" max="11009" width="0" style="20" hidden="1" customWidth="1"/>
    <col min="11010" max="11010" width="63.42578125" style="20" customWidth="1"/>
    <col min="11011" max="11011" width="18.42578125" style="20" customWidth="1"/>
    <col min="11012" max="11013" width="0" style="20" hidden="1" customWidth="1"/>
    <col min="11014" max="11014" width="19.5703125" style="20" bestFit="1" customWidth="1"/>
    <col min="11015" max="11015" width="19.5703125" style="20" customWidth="1"/>
    <col min="11016" max="11016" width="16.28515625" style="20" bestFit="1" customWidth="1"/>
    <col min="11017" max="11017" width="17" style="20" bestFit="1" customWidth="1"/>
    <col min="11018" max="11018" width="51" style="20" customWidth="1"/>
    <col min="11019" max="11019" width="14.140625" style="20" bestFit="1" customWidth="1"/>
    <col min="11020" max="11020" width="11.5703125" style="20"/>
    <col min="11021" max="11021" width="18" style="20" bestFit="1" customWidth="1"/>
    <col min="11022" max="11263" width="11.5703125" style="20"/>
    <col min="11264" max="11265" width="0" style="20" hidden="1" customWidth="1"/>
    <col min="11266" max="11266" width="63.42578125" style="20" customWidth="1"/>
    <col min="11267" max="11267" width="18.42578125" style="20" customWidth="1"/>
    <col min="11268" max="11269" width="0" style="20" hidden="1" customWidth="1"/>
    <col min="11270" max="11270" width="19.5703125" style="20" bestFit="1" customWidth="1"/>
    <col min="11271" max="11271" width="19.5703125" style="20" customWidth="1"/>
    <col min="11272" max="11272" width="16.28515625" style="20" bestFit="1" customWidth="1"/>
    <col min="11273" max="11273" width="17" style="20" bestFit="1" customWidth="1"/>
    <col min="11274" max="11274" width="51" style="20" customWidth="1"/>
    <col min="11275" max="11275" width="14.140625" style="20" bestFit="1" customWidth="1"/>
    <col min="11276" max="11276" width="11.5703125" style="20"/>
    <col min="11277" max="11277" width="18" style="20" bestFit="1" customWidth="1"/>
    <col min="11278" max="11519" width="11.5703125" style="20"/>
    <col min="11520" max="11521" width="0" style="20" hidden="1" customWidth="1"/>
    <col min="11522" max="11522" width="63.42578125" style="20" customWidth="1"/>
    <col min="11523" max="11523" width="18.42578125" style="20" customWidth="1"/>
    <col min="11524" max="11525" width="0" style="20" hidden="1" customWidth="1"/>
    <col min="11526" max="11526" width="19.5703125" style="20" bestFit="1" customWidth="1"/>
    <col min="11527" max="11527" width="19.5703125" style="20" customWidth="1"/>
    <col min="11528" max="11528" width="16.28515625" style="20" bestFit="1" customWidth="1"/>
    <col min="11529" max="11529" width="17" style="20" bestFit="1" customWidth="1"/>
    <col min="11530" max="11530" width="51" style="20" customWidth="1"/>
    <col min="11531" max="11531" width="14.140625" style="20" bestFit="1" customWidth="1"/>
    <col min="11532" max="11532" width="11.5703125" style="20"/>
    <col min="11533" max="11533" width="18" style="20" bestFit="1" customWidth="1"/>
    <col min="11534" max="11775" width="11.5703125" style="20"/>
    <col min="11776" max="11777" width="0" style="20" hidden="1" customWidth="1"/>
    <col min="11778" max="11778" width="63.42578125" style="20" customWidth="1"/>
    <col min="11779" max="11779" width="18.42578125" style="20" customWidth="1"/>
    <col min="11780" max="11781" width="0" style="20" hidden="1" customWidth="1"/>
    <col min="11782" max="11782" width="19.5703125" style="20" bestFit="1" customWidth="1"/>
    <col min="11783" max="11783" width="19.5703125" style="20" customWidth="1"/>
    <col min="11784" max="11784" width="16.28515625" style="20" bestFit="1" customWidth="1"/>
    <col min="11785" max="11785" width="17" style="20" bestFit="1" customWidth="1"/>
    <col min="11786" max="11786" width="51" style="20" customWidth="1"/>
    <col min="11787" max="11787" width="14.140625" style="20" bestFit="1" customWidth="1"/>
    <col min="11788" max="11788" width="11.5703125" style="20"/>
    <col min="11789" max="11789" width="18" style="20" bestFit="1" customWidth="1"/>
    <col min="11790" max="12031" width="11.5703125" style="20"/>
    <col min="12032" max="12033" width="0" style="20" hidden="1" customWidth="1"/>
    <col min="12034" max="12034" width="63.42578125" style="20" customWidth="1"/>
    <col min="12035" max="12035" width="18.42578125" style="20" customWidth="1"/>
    <col min="12036" max="12037" width="0" style="20" hidden="1" customWidth="1"/>
    <col min="12038" max="12038" width="19.5703125" style="20" bestFit="1" customWidth="1"/>
    <col min="12039" max="12039" width="19.5703125" style="20" customWidth="1"/>
    <col min="12040" max="12040" width="16.28515625" style="20" bestFit="1" customWidth="1"/>
    <col min="12041" max="12041" width="17" style="20" bestFit="1" customWidth="1"/>
    <col min="12042" max="12042" width="51" style="20" customWidth="1"/>
    <col min="12043" max="12043" width="14.140625" style="20" bestFit="1" customWidth="1"/>
    <col min="12044" max="12044" width="11.5703125" style="20"/>
    <col min="12045" max="12045" width="18" style="20" bestFit="1" customWidth="1"/>
    <col min="12046" max="12287" width="11.5703125" style="20"/>
    <col min="12288" max="12289" width="0" style="20" hidden="1" customWidth="1"/>
    <col min="12290" max="12290" width="63.42578125" style="20" customWidth="1"/>
    <col min="12291" max="12291" width="18.42578125" style="20" customWidth="1"/>
    <col min="12292" max="12293" width="0" style="20" hidden="1" customWidth="1"/>
    <col min="12294" max="12294" width="19.5703125" style="20" bestFit="1" customWidth="1"/>
    <col min="12295" max="12295" width="19.5703125" style="20" customWidth="1"/>
    <col min="12296" max="12296" width="16.28515625" style="20" bestFit="1" customWidth="1"/>
    <col min="12297" max="12297" width="17" style="20" bestFit="1" customWidth="1"/>
    <col min="12298" max="12298" width="51" style="20" customWidth="1"/>
    <col min="12299" max="12299" width="14.140625" style="20" bestFit="1" customWidth="1"/>
    <col min="12300" max="12300" width="11.5703125" style="20"/>
    <col min="12301" max="12301" width="18" style="20" bestFit="1" customWidth="1"/>
    <col min="12302" max="12543" width="11.5703125" style="20"/>
    <col min="12544" max="12545" width="0" style="20" hidden="1" customWidth="1"/>
    <col min="12546" max="12546" width="63.42578125" style="20" customWidth="1"/>
    <col min="12547" max="12547" width="18.42578125" style="20" customWidth="1"/>
    <col min="12548" max="12549" width="0" style="20" hidden="1" customWidth="1"/>
    <col min="12550" max="12550" width="19.5703125" style="20" bestFit="1" customWidth="1"/>
    <col min="12551" max="12551" width="19.5703125" style="20" customWidth="1"/>
    <col min="12552" max="12552" width="16.28515625" style="20" bestFit="1" customWidth="1"/>
    <col min="12553" max="12553" width="17" style="20" bestFit="1" customWidth="1"/>
    <col min="12554" max="12554" width="51" style="20" customWidth="1"/>
    <col min="12555" max="12555" width="14.140625" style="20" bestFit="1" customWidth="1"/>
    <col min="12556" max="12556" width="11.5703125" style="20"/>
    <col min="12557" max="12557" width="18" style="20" bestFit="1" customWidth="1"/>
    <col min="12558" max="12799" width="11.5703125" style="20"/>
    <col min="12800" max="12801" width="0" style="20" hidden="1" customWidth="1"/>
    <col min="12802" max="12802" width="63.42578125" style="20" customWidth="1"/>
    <col min="12803" max="12803" width="18.42578125" style="20" customWidth="1"/>
    <col min="12804" max="12805" width="0" style="20" hidden="1" customWidth="1"/>
    <col min="12806" max="12806" width="19.5703125" style="20" bestFit="1" customWidth="1"/>
    <col min="12807" max="12807" width="19.5703125" style="20" customWidth="1"/>
    <col min="12808" max="12808" width="16.28515625" style="20" bestFit="1" customWidth="1"/>
    <col min="12809" max="12809" width="17" style="20" bestFit="1" customWidth="1"/>
    <col min="12810" max="12810" width="51" style="20" customWidth="1"/>
    <col min="12811" max="12811" width="14.140625" style="20" bestFit="1" customWidth="1"/>
    <col min="12812" max="12812" width="11.5703125" style="20"/>
    <col min="12813" max="12813" width="18" style="20" bestFit="1" customWidth="1"/>
    <col min="12814" max="13055" width="11.5703125" style="20"/>
    <col min="13056" max="13057" width="0" style="20" hidden="1" customWidth="1"/>
    <col min="13058" max="13058" width="63.42578125" style="20" customWidth="1"/>
    <col min="13059" max="13059" width="18.42578125" style="20" customWidth="1"/>
    <col min="13060" max="13061" width="0" style="20" hidden="1" customWidth="1"/>
    <col min="13062" max="13062" width="19.5703125" style="20" bestFit="1" customWidth="1"/>
    <col min="13063" max="13063" width="19.5703125" style="20" customWidth="1"/>
    <col min="13064" max="13064" width="16.28515625" style="20" bestFit="1" customWidth="1"/>
    <col min="13065" max="13065" width="17" style="20" bestFit="1" customWidth="1"/>
    <col min="13066" max="13066" width="51" style="20" customWidth="1"/>
    <col min="13067" max="13067" width="14.140625" style="20" bestFit="1" customWidth="1"/>
    <col min="13068" max="13068" width="11.5703125" style="20"/>
    <col min="13069" max="13069" width="18" style="20" bestFit="1" customWidth="1"/>
    <col min="13070" max="13311" width="11.5703125" style="20"/>
    <col min="13312" max="13313" width="0" style="20" hidden="1" customWidth="1"/>
    <col min="13314" max="13314" width="63.42578125" style="20" customWidth="1"/>
    <col min="13315" max="13315" width="18.42578125" style="20" customWidth="1"/>
    <col min="13316" max="13317" width="0" style="20" hidden="1" customWidth="1"/>
    <col min="13318" max="13318" width="19.5703125" style="20" bestFit="1" customWidth="1"/>
    <col min="13319" max="13319" width="19.5703125" style="20" customWidth="1"/>
    <col min="13320" max="13320" width="16.28515625" style="20" bestFit="1" customWidth="1"/>
    <col min="13321" max="13321" width="17" style="20" bestFit="1" customWidth="1"/>
    <col min="13322" max="13322" width="51" style="20" customWidth="1"/>
    <col min="13323" max="13323" width="14.140625" style="20" bestFit="1" customWidth="1"/>
    <col min="13324" max="13324" width="11.5703125" style="20"/>
    <col min="13325" max="13325" width="18" style="20" bestFit="1" customWidth="1"/>
    <col min="13326" max="13567" width="11.5703125" style="20"/>
    <col min="13568" max="13569" width="0" style="20" hidden="1" customWidth="1"/>
    <col min="13570" max="13570" width="63.42578125" style="20" customWidth="1"/>
    <col min="13571" max="13571" width="18.42578125" style="20" customWidth="1"/>
    <col min="13572" max="13573" width="0" style="20" hidden="1" customWidth="1"/>
    <col min="13574" max="13574" width="19.5703125" style="20" bestFit="1" customWidth="1"/>
    <col min="13575" max="13575" width="19.5703125" style="20" customWidth="1"/>
    <col min="13576" max="13576" width="16.28515625" style="20" bestFit="1" customWidth="1"/>
    <col min="13577" max="13577" width="17" style="20" bestFit="1" customWidth="1"/>
    <col min="13578" max="13578" width="51" style="20" customWidth="1"/>
    <col min="13579" max="13579" width="14.140625" style="20" bestFit="1" customWidth="1"/>
    <col min="13580" max="13580" width="11.5703125" style="20"/>
    <col min="13581" max="13581" width="18" style="20" bestFit="1" customWidth="1"/>
    <col min="13582" max="13823" width="11.5703125" style="20"/>
    <col min="13824" max="13825" width="0" style="20" hidden="1" customWidth="1"/>
    <col min="13826" max="13826" width="63.42578125" style="20" customWidth="1"/>
    <col min="13827" max="13827" width="18.42578125" style="20" customWidth="1"/>
    <col min="13828" max="13829" width="0" style="20" hidden="1" customWidth="1"/>
    <col min="13830" max="13830" width="19.5703125" style="20" bestFit="1" customWidth="1"/>
    <col min="13831" max="13831" width="19.5703125" style="20" customWidth="1"/>
    <col min="13832" max="13832" width="16.28515625" style="20" bestFit="1" customWidth="1"/>
    <col min="13833" max="13833" width="17" style="20" bestFit="1" customWidth="1"/>
    <col min="13834" max="13834" width="51" style="20" customWidth="1"/>
    <col min="13835" max="13835" width="14.140625" style="20" bestFit="1" customWidth="1"/>
    <col min="13836" max="13836" width="11.5703125" style="20"/>
    <col min="13837" max="13837" width="18" style="20" bestFit="1" customWidth="1"/>
    <col min="13838" max="14079" width="11.5703125" style="20"/>
    <col min="14080" max="14081" width="0" style="20" hidden="1" customWidth="1"/>
    <col min="14082" max="14082" width="63.42578125" style="20" customWidth="1"/>
    <col min="14083" max="14083" width="18.42578125" style="20" customWidth="1"/>
    <col min="14084" max="14085" width="0" style="20" hidden="1" customWidth="1"/>
    <col min="14086" max="14086" width="19.5703125" style="20" bestFit="1" customWidth="1"/>
    <col min="14087" max="14087" width="19.5703125" style="20" customWidth="1"/>
    <col min="14088" max="14088" width="16.28515625" style="20" bestFit="1" customWidth="1"/>
    <col min="14089" max="14089" width="17" style="20" bestFit="1" customWidth="1"/>
    <col min="14090" max="14090" width="51" style="20" customWidth="1"/>
    <col min="14091" max="14091" width="14.140625" style="20" bestFit="1" customWidth="1"/>
    <col min="14092" max="14092" width="11.5703125" style="20"/>
    <col min="14093" max="14093" width="18" style="20" bestFit="1" customWidth="1"/>
    <col min="14094" max="14335" width="11.5703125" style="20"/>
    <col min="14336" max="14337" width="0" style="20" hidden="1" customWidth="1"/>
    <col min="14338" max="14338" width="63.42578125" style="20" customWidth="1"/>
    <col min="14339" max="14339" width="18.42578125" style="20" customWidth="1"/>
    <col min="14340" max="14341" width="0" style="20" hidden="1" customWidth="1"/>
    <col min="14342" max="14342" width="19.5703125" style="20" bestFit="1" customWidth="1"/>
    <col min="14343" max="14343" width="19.5703125" style="20" customWidth="1"/>
    <col min="14344" max="14344" width="16.28515625" style="20" bestFit="1" customWidth="1"/>
    <col min="14345" max="14345" width="17" style="20" bestFit="1" customWidth="1"/>
    <col min="14346" max="14346" width="51" style="20" customWidth="1"/>
    <col min="14347" max="14347" width="14.140625" style="20" bestFit="1" customWidth="1"/>
    <col min="14348" max="14348" width="11.5703125" style="20"/>
    <col min="14349" max="14349" width="18" style="20" bestFit="1" customWidth="1"/>
    <col min="14350" max="14591" width="11.5703125" style="20"/>
    <col min="14592" max="14593" width="0" style="20" hidden="1" customWidth="1"/>
    <col min="14594" max="14594" width="63.42578125" style="20" customWidth="1"/>
    <col min="14595" max="14595" width="18.42578125" style="20" customWidth="1"/>
    <col min="14596" max="14597" width="0" style="20" hidden="1" customWidth="1"/>
    <col min="14598" max="14598" width="19.5703125" style="20" bestFit="1" customWidth="1"/>
    <col min="14599" max="14599" width="19.5703125" style="20" customWidth="1"/>
    <col min="14600" max="14600" width="16.28515625" style="20" bestFit="1" customWidth="1"/>
    <col min="14601" max="14601" width="17" style="20" bestFit="1" customWidth="1"/>
    <col min="14602" max="14602" width="51" style="20" customWidth="1"/>
    <col min="14603" max="14603" width="14.140625" style="20" bestFit="1" customWidth="1"/>
    <col min="14604" max="14604" width="11.5703125" style="20"/>
    <col min="14605" max="14605" width="18" style="20" bestFit="1" customWidth="1"/>
    <col min="14606" max="14847" width="11.5703125" style="20"/>
    <col min="14848" max="14849" width="0" style="20" hidden="1" customWidth="1"/>
    <col min="14850" max="14850" width="63.42578125" style="20" customWidth="1"/>
    <col min="14851" max="14851" width="18.42578125" style="20" customWidth="1"/>
    <col min="14852" max="14853" width="0" style="20" hidden="1" customWidth="1"/>
    <col min="14854" max="14854" width="19.5703125" style="20" bestFit="1" customWidth="1"/>
    <col min="14855" max="14855" width="19.5703125" style="20" customWidth="1"/>
    <col min="14856" max="14856" width="16.28515625" style="20" bestFit="1" customWidth="1"/>
    <col min="14857" max="14857" width="17" style="20" bestFit="1" customWidth="1"/>
    <col min="14858" max="14858" width="51" style="20" customWidth="1"/>
    <col min="14859" max="14859" width="14.140625" style="20" bestFit="1" customWidth="1"/>
    <col min="14860" max="14860" width="11.5703125" style="20"/>
    <col min="14861" max="14861" width="18" style="20" bestFit="1" customWidth="1"/>
    <col min="14862" max="15103" width="11.5703125" style="20"/>
    <col min="15104" max="15105" width="0" style="20" hidden="1" customWidth="1"/>
    <col min="15106" max="15106" width="63.42578125" style="20" customWidth="1"/>
    <col min="15107" max="15107" width="18.42578125" style="20" customWidth="1"/>
    <col min="15108" max="15109" width="0" style="20" hidden="1" customWidth="1"/>
    <col min="15110" max="15110" width="19.5703125" style="20" bestFit="1" customWidth="1"/>
    <col min="15111" max="15111" width="19.5703125" style="20" customWidth="1"/>
    <col min="15112" max="15112" width="16.28515625" style="20" bestFit="1" customWidth="1"/>
    <col min="15113" max="15113" width="17" style="20" bestFit="1" customWidth="1"/>
    <col min="15114" max="15114" width="51" style="20" customWidth="1"/>
    <col min="15115" max="15115" width="14.140625" style="20" bestFit="1" customWidth="1"/>
    <col min="15116" max="15116" width="11.5703125" style="20"/>
    <col min="15117" max="15117" width="18" style="20" bestFit="1" customWidth="1"/>
    <col min="15118" max="15359" width="11.5703125" style="20"/>
    <col min="15360" max="15361" width="0" style="20" hidden="1" customWidth="1"/>
    <col min="15362" max="15362" width="63.42578125" style="20" customWidth="1"/>
    <col min="15363" max="15363" width="18.42578125" style="20" customWidth="1"/>
    <col min="15364" max="15365" width="0" style="20" hidden="1" customWidth="1"/>
    <col min="15366" max="15366" width="19.5703125" style="20" bestFit="1" customWidth="1"/>
    <col min="15367" max="15367" width="19.5703125" style="20" customWidth="1"/>
    <col min="15368" max="15368" width="16.28515625" style="20" bestFit="1" customWidth="1"/>
    <col min="15369" max="15369" width="17" style="20" bestFit="1" customWidth="1"/>
    <col min="15370" max="15370" width="51" style="20" customWidth="1"/>
    <col min="15371" max="15371" width="14.140625" style="20" bestFit="1" customWidth="1"/>
    <col min="15372" max="15372" width="11.5703125" style="20"/>
    <col min="15373" max="15373" width="18" style="20" bestFit="1" customWidth="1"/>
    <col min="15374" max="15615" width="11.5703125" style="20"/>
    <col min="15616" max="15617" width="0" style="20" hidden="1" customWidth="1"/>
    <col min="15618" max="15618" width="63.42578125" style="20" customWidth="1"/>
    <col min="15619" max="15619" width="18.42578125" style="20" customWidth="1"/>
    <col min="15620" max="15621" width="0" style="20" hidden="1" customWidth="1"/>
    <col min="15622" max="15622" width="19.5703125" style="20" bestFit="1" customWidth="1"/>
    <col min="15623" max="15623" width="19.5703125" style="20" customWidth="1"/>
    <col min="15624" max="15624" width="16.28515625" style="20" bestFit="1" customWidth="1"/>
    <col min="15625" max="15625" width="17" style="20" bestFit="1" customWidth="1"/>
    <col min="15626" max="15626" width="51" style="20" customWidth="1"/>
    <col min="15627" max="15627" width="14.140625" style="20" bestFit="1" customWidth="1"/>
    <col min="15628" max="15628" width="11.5703125" style="20"/>
    <col min="15629" max="15629" width="18" style="20" bestFit="1" customWidth="1"/>
    <col min="15630" max="15871" width="11.5703125" style="20"/>
    <col min="15872" max="15873" width="0" style="20" hidden="1" customWidth="1"/>
    <col min="15874" max="15874" width="63.42578125" style="20" customWidth="1"/>
    <col min="15875" max="15875" width="18.42578125" style="20" customWidth="1"/>
    <col min="15876" max="15877" width="0" style="20" hidden="1" customWidth="1"/>
    <col min="15878" max="15878" width="19.5703125" style="20" bestFit="1" customWidth="1"/>
    <col min="15879" max="15879" width="19.5703125" style="20" customWidth="1"/>
    <col min="15880" max="15880" width="16.28515625" style="20" bestFit="1" customWidth="1"/>
    <col min="15881" max="15881" width="17" style="20" bestFit="1" customWidth="1"/>
    <col min="15882" max="15882" width="51" style="20" customWidth="1"/>
    <col min="15883" max="15883" width="14.140625" style="20" bestFit="1" customWidth="1"/>
    <col min="15884" max="15884" width="11.5703125" style="20"/>
    <col min="15885" max="15885" width="18" style="20" bestFit="1" customWidth="1"/>
    <col min="15886" max="16127" width="11.5703125" style="20"/>
    <col min="16128" max="16129" width="0" style="20" hidden="1" customWidth="1"/>
    <col min="16130" max="16130" width="63.42578125" style="20" customWidth="1"/>
    <col min="16131" max="16131" width="18.42578125" style="20" customWidth="1"/>
    <col min="16132" max="16133" width="0" style="20" hidden="1" customWidth="1"/>
    <col min="16134" max="16134" width="19.5703125" style="20" bestFit="1" customWidth="1"/>
    <col min="16135" max="16135" width="19.5703125" style="20" customWidth="1"/>
    <col min="16136" max="16136" width="16.28515625" style="20" bestFit="1" customWidth="1"/>
    <col min="16137" max="16137" width="17" style="20" bestFit="1" customWidth="1"/>
    <col min="16138" max="16138" width="51" style="20" customWidth="1"/>
    <col min="16139" max="16139" width="14.140625" style="20" bestFit="1" customWidth="1"/>
    <col min="16140" max="16140" width="11.5703125" style="20"/>
    <col min="16141" max="16141" width="18" style="20" bestFit="1" customWidth="1"/>
    <col min="16142" max="16384" width="11.5703125" style="20"/>
  </cols>
  <sheetData>
    <row r="1" spans="1:10" ht="22.5" customHeight="1">
      <c r="A1" s="161" t="s">
        <v>0</v>
      </c>
      <c r="B1" s="161"/>
      <c r="C1" s="161"/>
      <c r="D1" s="161"/>
      <c r="E1" s="161"/>
      <c r="F1" s="161"/>
      <c r="G1" s="161"/>
      <c r="H1" s="161"/>
      <c r="I1" s="161"/>
    </row>
    <row r="2" spans="1:10" ht="22.5" customHeight="1">
      <c r="A2" s="161" t="s">
        <v>242</v>
      </c>
      <c r="B2" s="161"/>
      <c r="C2" s="161"/>
      <c r="D2" s="161"/>
      <c r="E2" s="161"/>
      <c r="F2" s="161"/>
      <c r="G2" s="161"/>
      <c r="H2" s="161"/>
      <c r="I2" s="161"/>
    </row>
    <row r="3" spans="1:10">
      <c r="C3" s="21"/>
      <c r="D3" s="33"/>
      <c r="E3" s="21"/>
      <c r="F3" s="21"/>
      <c r="G3" s="21"/>
      <c r="H3" s="21"/>
      <c r="I3" s="21"/>
    </row>
    <row r="4" spans="1:10" ht="15.75" thickBot="1">
      <c r="C4" s="22"/>
      <c r="D4" s="34"/>
      <c r="E4" s="22"/>
      <c r="F4" s="22"/>
      <c r="G4" s="22"/>
      <c r="H4" s="22"/>
      <c r="I4" s="22"/>
      <c r="J4" s="45">
        <v>12</v>
      </c>
    </row>
    <row r="5" spans="1:10" ht="17.45" customHeight="1" thickTop="1">
      <c r="A5" s="23"/>
      <c r="B5" s="23"/>
      <c r="C5" s="164" t="s">
        <v>195</v>
      </c>
      <c r="D5" s="177" t="s">
        <v>196</v>
      </c>
      <c r="E5" s="168" t="s">
        <v>241</v>
      </c>
      <c r="F5" s="179" t="s">
        <v>243</v>
      </c>
      <c r="G5" s="179" t="s">
        <v>254</v>
      </c>
      <c r="H5" s="171" t="s">
        <v>244</v>
      </c>
      <c r="I5" s="171" t="s">
        <v>245</v>
      </c>
      <c r="J5" s="175" t="s">
        <v>198</v>
      </c>
    </row>
    <row r="6" spans="1:10" ht="36" customHeight="1" thickBot="1">
      <c r="A6" s="24" t="s">
        <v>199</v>
      </c>
      <c r="B6" s="24" t="s">
        <v>200</v>
      </c>
      <c r="C6" s="165"/>
      <c r="D6" s="178"/>
      <c r="E6" s="169"/>
      <c r="F6" s="180"/>
      <c r="G6" s="180"/>
      <c r="H6" s="172"/>
      <c r="I6" s="172"/>
      <c r="J6" s="176"/>
    </row>
    <row r="7" spans="1:10" ht="15.75" thickTop="1">
      <c r="C7" s="7" t="s">
        <v>203</v>
      </c>
      <c r="D7" s="26">
        <v>91598713</v>
      </c>
      <c r="E7" s="26">
        <v>91189802</v>
      </c>
      <c r="F7" s="26">
        <f>ROUND((E7*1.07),-3)</f>
        <v>97573000</v>
      </c>
      <c r="G7" s="26">
        <f>ROUND((F7/12),-3)</f>
        <v>8131000</v>
      </c>
      <c r="H7" s="26">
        <f t="shared" ref="H7:H32" si="0">+F7-D7</f>
        <v>5974287</v>
      </c>
      <c r="I7" s="95">
        <f>+H7/D7</f>
        <v>6.5222390187949481E-2</v>
      </c>
      <c r="J7" s="25" t="s">
        <v>246</v>
      </c>
    </row>
    <row r="8" spans="1:10">
      <c r="A8" s="20" t="s">
        <v>204</v>
      </c>
      <c r="B8" s="20" t="s">
        <v>205</v>
      </c>
      <c r="C8" s="7" t="s">
        <v>26</v>
      </c>
      <c r="D8" s="26">
        <v>3664022</v>
      </c>
      <c r="E8" s="26">
        <v>3664021</v>
      </c>
      <c r="F8" s="26">
        <f t="shared" ref="F8:F32" si="1">ROUND((E8*1.07),-3)</f>
        <v>3921000</v>
      </c>
      <c r="G8" s="26">
        <f t="shared" ref="G8:G32" si="2">ROUND((F8/12),-3)</f>
        <v>327000</v>
      </c>
      <c r="H8" s="26">
        <f t="shared" si="0"/>
        <v>256978</v>
      </c>
      <c r="I8" s="95">
        <f>+H8/D8</f>
        <v>7.0135495911323675E-2</v>
      </c>
      <c r="J8" s="25"/>
    </row>
    <row r="9" spans="1:10">
      <c r="C9" s="7" t="s">
        <v>255</v>
      </c>
      <c r="D9" s="26">
        <v>0</v>
      </c>
      <c r="E9" s="26">
        <v>0</v>
      </c>
      <c r="F9" s="26">
        <f t="shared" si="1"/>
        <v>0</v>
      </c>
      <c r="G9" s="26">
        <f t="shared" si="2"/>
        <v>0</v>
      </c>
      <c r="H9" s="26">
        <f t="shared" si="0"/>
        <v>0</v>
      </c>
      <c r="I9" s="95">
        <v>1</v>
      </c>
      <c r="J9" s="25"/>
    </row>
    <row r="10" spans="1:10">
      <c r="A10" s="20" t="s">
        <v>204</v>
      </c>
      <c r="B10" s="20" t="s">
        <v>206</v>
      </c>
      <c r="C10" s="7" t="s">
        <v>75</v>
      </c>
      <c r="D10" s="26">
        <v>4637243</v>
      </c>
      <c r="E10" s="26">
        <v>4637244</v>
      </c>
      <c r="F10" s="26">
        <f t="shared" si="1"/>
        <v>4962000</v>
      </c>
      <c r="G10" s="26">
        <f t="shared" si="2"/>
        <v>414000</v>
      </c>
      <c r="H10" s="26">
        <f t="shared" si="0"/>
        <v>324757</v>
      </c>
      <c r="I10" s="95">
        <f t="shared" ref="I10:I33" si="3">+H10/D10</f>
        <v>7.0032344649611847E-2</v>
      </c>
      <c r="J10" s="25" t="s">
        <v>246</v>
      </c>
    </row>
    <row r="11" spans="1:10">
      <c r="C11" s="61" t="s">
        <v>76</v>
      </c>
      <c r="D11" s="26">
        <v>321000</v>
      </c>
      <c r="E11" s="26">
        <v>321000</v>
      </c>
      <c r="F11" s="26">
        <f t="shared" si="1"/>
        <v>343000</v>
      </c>
      <c r="G11" s="26">
        <f t="shared" si="2"/>
        <v>29000</v>
      </c>
      <c r="H11" s="26">
        <f t="shared" si="0"/>
        <v>22000</v>
      </c>
      <c r="I11" s="95">
        <f t="shared" si="3"/>
        <v>6.8535825545171333E-2</v>
      </c>
      <c r="J11" s="25" t="s">
        <v>246</v>
      </c>
    </row>
    <row r="12" spans="1:10">
      <c r="A12" s="20" t="s">
        <v>204</v>
      </c>
      <c r="B12" s="20" t="s">
        <v>209</v>
      </c>
      <c r="C12" s="56" t="s">
        <v>207</v>
      </c>
      <c r="D12" s="26">
        <v>3361823</v>
      </c>
      <c r="E12" s="26">
        <v>0</v>
      </c>
      <c r="F12" s="26">
        <f t="shared" si="1"/>
        <v>0</v>
      </c>
      <c r="G12" s="26">
        <f t="shared" si="2"/>
        <v>0</v>
      </c>
      <c r="H12" s="26">
        <f t="shared" si="0"/>
        <v>-3361823</v>
      </c>
      <c r="I12" s="95">
        <f t="shared" si="3"/>
        <v>-1</v>
      </c>
      <c r="J12" s="25"/>
    </row>
    <row r="13" spans="1:10" ht="45">
      <c r="C13" s="7" t="s">
        <v>77</v>
      </c>
      <c r="D13" s="26">
        <v>736623</v>
      </c>
      <c r="E13" s="26">
        <v>678231</v>
      </c>
      <c r="F13" s="26">
        <f t="shared" si="1"/>
        <v>726000</v>
      </c>
      <c r="G13" s="26">
        <f t="shared" si="2"/>
        <v>61000</v>
      </c>
      <c r="H13" s="26">
        <f t="shared" si="0"/>
        <v>-10623</v>
      </c>
      <c r="I13" s="95">
        <f t="shared" si="3"/>
        <v>-1.4421216823259659E-2</v>
      </c>
      <c r="J13" s="40" t="s">
        <v>248</v>
      </c>
    </row>
    <row r="14" spans="1:10">
      <c r="C14" s="7" t="s">
        <v>78</v>
      </c>
      <c r="D14" s="26">
        <v>437757</v>
      </c>
      <c r="E14" s="26">
        <v>440000</v>
      </c>
      <c r="F14" s="26">
        <f t="shared" si="1"/>
        <v>471000</v>
      </c>
      <c r="G14" s="26">
        <f t="shared" si="2"/>
        <v>39000</v>
      </c>
      <c r="H14" s="26">
        <f t="shared" si="0"/>
        <v>33243</v>
      </c>
      <c r="I14" s="95">
        <f t="shared" si="3"/>
        <v>7.5939391032010917E-2</v>
      </c>
      <c r="J14" s="25" t="s">
        <v>246</v>
      </c>
    </row>
    <row r="15" spans="1:10">
      <c r="A15" s="20" t="s">
        <v>204</v>
      </c>
      <c r="B15" s="20" t="s">
        <v>210</v>
      </c>
      <c r="C15" s="7" t="s">
        <v>79</v>
      </c>
      <c r="D15" s="26">
        <v>16943117</v>
      </c>
      <c r="E15" s="26">
        <v>16011950</v>
      </c>
      <c r="F15" s="26">
        <f t="shared" si="1"/>
        <v>17133000</v>
      </c>
      <c r="G15" s="26">
        <f t="shared" si="2"/>
        <v>1428000</v>
      </c>
      <c r="H15" s="26">
        <f t="shared" si="0"/>
        <v>189883</v>
      </c>
      <c r="I15" s="95">
        <f t="shared" si="3"/>
        <v>1.1207087810348001E-2</v>
      </c>
      <c r="J15" s="25" t="s">
        <v>249</v>
      </c>
    </row>
    <row r="16" spans="1:10">
      <c r="A16" s="20" t="s">
        <v>204</v>
      </c>
      <c r="B16" s="20" t="s">
        <v>211</v>
      </c>
      <c r="C16" s="7" t="s">
        <v>80</v>
      </c>
      <c r="D16" s="26">
        <v>1481092</v>
      </c>
      <c r="E16" s="26">
        <v>888778</v>
      </c>
      <c r="F16" s="26">
        <f t="shared" si="1"/>
        <v>951000</v>
      </c>
      <c r="G16" s="26">
        <f t="shared" si="2"/>
        <v>79000</v>
      </c>
      <c r="H16" s="26">
        <f t="shared" si="0"/>
        <v>-530092</v>
      </c>
      <c r="I16" s="95">
        <f t="shared" si="3"/>
        <v>-0.35790619353828124</v>
      </c>
      <c r="J16" s="25" t="s">
        <v>246</v>
      </c>
    </row>
    <row r="17" spans="1:10">
      <c r="A17" s="20" t="s">
        <v>204</v>
      </c>
      <c r="B17" s="20" t="s">
        <v>212</v>
      </c>
      <c r="C17" s="7" t="s">
        <v>81</v>
      </c>
      <c r="D17" s="26">
        <v>163210</v>
      </c>
      <c r="E17" s="26">
        <v>100000</v>
      </c>
      <c r="F17" s="26">
        <f t="shared" si="1"/>
        <v>107000</v>
      </c>
      <c r="G17" s="26">
        <f t="shared" si="2"/>
        <v>9000</v>
      </c>
      <c r="H17" s="26">
        <f t="shared" si="0"/>
        <v>-56210</v>
      </c>
      <c r="I17" s="95">
        <f t="shared" si="3"/>
        <v>-0.34440291648796029</v>
      </c>
      <c r="J17" s="25"/>
    </row>
    <row r="18" spans="1:10">
      <c r="A18" s="20" t="s">
        <v>204</v>
      </c>
      <c r="B18" s="20" t="s">
        <v>213</v>
      </c>
      <c r="C18" s="46" t="s">
        <v>82</v>
      </c>
      <c r="D18" s="26">
        <v>14650247</v>
      </c>
      <c r="E18" s="26">
        <v>14650248</v>
      </c>
      <c r="F18" s="26">
        <f t="shared" si="1"/>
        <v>15676000</v>
      </c>
      <c r="G18" s="26">
        <f t="shared" si="2"/>
        <v>1306000</v>
      </c>
      <c r="H18" s="26">
        <f t="shared" si="0"/>
        <v>1025753</v>
      </c>
      <c r="I18" s="95">
        <f t="shared" si="3"/>
        <v>7.001608914853108E-2</v>
      </c>
      <c r="J18" s="25" t="s">
        <v>246</v>
      </c>
    </row>
    <row r="19" spans="1:10">
      <c r="C19" s="56" t="s">
        <v>83</v>
      </c>
      <c r="D19" s="26">
        <v>1013888</v>
      </c>
      <c r="E19" s="26">
        <v>1079942</v>
      </c>
      <c r="F19" s="26">
        <f t="shared" si="1"/>
        <v>1156000</v>
      </c>
      <c r="G19" s="26">
        <f t="shared" si="2"/>
        <v>96000</v>
      </c>
      <c r="H19" s="26">
        <f t="shared" si="0"/>
        <v>142112</v>
      </c>
      <c r="I19" s="95">
        <f t="shared" si="3"/>
        <v>0.14016538315869209</v>
      </c>
      <c r="J19" s="25" t="s">
        <v>250</v>
      </c>
    </row>
    <row r="20" spans="1:10">
      <c r="C20" s="56" t="s">
        <v>214</v>
      </c>
      <c r="D20" s="26">
        <v>2600000</v>
      </c>
      <c r="E20" s="26">
        <v>5007616</v>
      </c>
      <c r="F20" s="26">
        <f t="shared" si="1"/>
        <v>5358000</v>
      </c>
      <c r="G20" s="26">
        <f t="shared" si="2"/>
        <v>447000</v>
      </c>
      <c r="H20" s="26">
        <f t="shared" si="0"/>
        <v>2758000</v>
      </c>
      <c r="I20" s="95">
        <f t="shared" si="3"/>
        <v>1.0607692307692307</v>
      </c>
      <c r="J20" s="40" t="s">
        <v>251</v>
      </c>
    </row>
    <row r="21" spans="1:10">
      <c r="C21" s="56" t="s">
        <v>85</v>
      </c>
      <c r="D21" s="26">
        <v>7084190</v>
      </c>
      <c r="E21" s="26">
        <v>16770200</v>
      </c>
      <c r="F21" s="26">
        <f t="shared" si="1"/>
        <v>17944000</v>
      </c>
      <c r="G21" s="26">
        <f t="shared" si="2"/>
        <v>1495000</v>
      </c>
      <c r="H21" s="26">
        <f t="shared" si="0"/>
        <v>10859810</v>
      </c>
      <c r="I21" s="95">
        <f t="shared" si="3"/>
        <v>1.5329642485591155</v>
      </c>
      <c r="J21" s="40"/>
    </row>
    <row r="22" spans="1:10">
      <c r="C22" s="56" t="s">
        <v>216</v>
      </c>
      <c r="D22" s="26">
        <v>2721197</v>
      </c>
      <c r="E22" s="26">
        <v>2657824</v>
      </c>
      <c r="F22" s="26">
        <f t="shared" si="1"/>
        <v>2844000</v>
      </c>
      <c r="G22" s="26">
        <f t="shared" si="2"/>
        <v>237000</v>
      </c>
      <c r="H22" s="26">
        <f t="shared" si="0"/>
        <v>122803</v>
      </c>
      <c r="I22" s="95">
        <f t="shared" si="3"/>
        <v>4.5128301993571214E-2</v>
      </c>
      <c r="J22" s="25" t="s">
        <v>246</v>
      </c>
    </row>
    <row r="23" spans="1:10">
      <c r="C23" s="56" t="s">
        <v>87</v>
      </c>
      <c r="D23" s="26">
        <v>307711</v>
      </c>
      <c r="E23" s="26">
        <v>163799</v>
      </c>
      <c r="F23" s="26">
        <f t="shared" si="1"/>
        <v>175000</v>
      </c>
      <c r="G23" s="26">
        <f t="shared" si="2"/>
        <v>15000</v>
      </c>
      <c r="H23" s="26">
        <f t="shared" si="0"/>
        <v>-132711</v>
      </c>
      <c r="I23" s="95">
        <f t="shared" si="3"/>
        <v>-0.4312845494636201</v>
      </c>
      <c r="J23" s="25"/>
    </row>
    <row r="24" spans="1:10">
      <c r="A24" s="20" t="s">
        <v>204</v>
      </c>
      <c r="B24" s="20" t="s">
        <v>215</v>
      </c>
      <c r="C24" s="7" t="s">
        <v>217</v>
      </c>
      <c r="D24" s="26">
        <v>1560000</v>
      </c>
      <c r="E24" s="26">
        <v>0</v>
      </c>
      <c r="F24" s="26">
        <f t="shared" si="1"/>
        <v>0</v>
      </c>
      <c r="G24" s="26">
        <f t="shared" si="2"/>
        <v>0</v>
      </c>
      <c r="H24" s="26">
        <f t="shared" si="0"/>
        <v>-1560000</v>
      </c>
      <c r="I24" s="95">
        <f t="shared" si="3"/>
        <v>-1</v>
      </c>
      <c r="J24" s="40"/>
    </row>
    <row r="25" spans="1:10">
      <c r="C25" s="7" t="s">
        <v>88</v>
      </c>
      <c r="D25" s="26">
        <v>715011</v>
      </c>
      <c r="E25" s="26">
        <v>353300</v>
      </c>
      <c r="F25" s="26">
        <f t="shared" si="1"/>
        <v>378000</v>
      </c>
      <c r="G25" s="26">
        <f t="shared" si="2"/>
        <v>32000</v>
      </c>
      <c r="H25" s="26">
        <f t="shared" si="0"/>
        <v>-337011</v>
      </c>
      <c r="I25" s="95">
        <f t="shared" si="3"/>
        <v>-0.47133680460860045</v>
      </c>
      <c r="J25" s="25" t="s">
        <v>252</v>
      </c>
    </row>
    <row r="26" spans="1:10">
      <c r="C26" s="7" t="s">
        <v>89</v>
      </c>
      <c r="D26" s="26">
        <v>306000</v>
      </c>
      <c r="E26" s="26">
        <v>0</v>
      </c>
      <c r="F26" s="26">
        <f t="shared" si="1"/>
        <v>0</v>
      </c>
      <c r="G26" s="26">
        <f t="shared" si="2"/>
        <v>0</v>
      </c>
      <c r="H26" s="26">
        <f t="shared" si="0"/>
        <v>-306000</v>
      </c>
      <c r="I26" s="95">
        <f t="shared" si="3"/>
        <v>-1</v>
      </c>
      <c r="J26" s="40"/>
    </row>
    <row r="27" spans="1:10" s="37" customFormat="1">
      <c r="A27" s="37" t="s">
        <v>204</v>
      </c>
      <c r="B27" s="37" t="s">
        <v>218</v>
      </c>
      <c r="C27" s="38" t="s">
        <v>90</v>
      </c>
      <c r="D27" s="26">
        <v>279176</v>
      </c>
      <c r="E27" s="26">
        <v>287010</v>
      </c>
      <c r="F27" s="26">
        <f t="shared" si="1"/>
        <v>307000</v>
      </c>
      <c r="G27" s="26">
        <f t="shared" si="2"/>
        <v>26000</v>
      </c>
      <c r="H27" s="26">
        <f t="shared" si="0"/>
        <v>27824</v>
      </c>
      <c r="I27" s="95">
        <f t="shared" si="3"/>
        <v>9.9664727627016655E-2</v>
      </c>
      <c r="J27" s="25" t="s">
        <v>250</v>
      </c>
    </row>
    <row r="28" spans="1:10">
      <c r="C28" s="43" t="s">
        <v>91</v>
      </c>
      <c r="D28" s="26">
        <v>635290</v>
      </c>
      <c r="E28" s="26">
        <v>677084</v>
      </c>
      <c r="F28" s="26">
        <f t="shared" si="1"/>
        <v>724000</v>
      </c>
      <c r="G28" s="26">
        <f t="shared" si="2"/>
        <v>60000</v>
      </c>
      <c r="H28" s="26">
        <f t="shared" si="0"/>
        <v>88710</v>
      </c>
      <c r="I28" s="95">
        <f t="shared" si="3"/>
        <v>0.13963701616584551</v>
      </c>
      <c r="J28" s="25" t="s">
        <v>250</v>
      </c>
    </row>
    <row r="29" spans="1:10">
      <c r="C29" s="7" t="s">
        <v>92</v>
      </c>
      <c r="D29" s="26">
        <v>72800</v>
      </c>
      <c r="E29" s="26">
        <v>0</v>
      </c>
      <c r="F29" s="26">
        <f t="shared" si="1"/>
        <v>0</v>
      </c>
      <c r="G29" s="26">
        <f t="shared" si="2"/>
        <v>0</v>
      </c>
      <c r="H29" s="26">
        <f t="shared" si="0"/>
        <v>-72800</v>
      </c>
      <c r="I29" s="95">
        <f t="shared" si="3"/>
        <v>-1</v>
      </c>
      <c r="J29" s="25"/>
    </row>
    <row r="30" spans="1:10">
      <c r="A30" s="20" t="s">
        <v>204</v>
      </c>
      <c r="B30" s="20" t="s">
        <v>219</v>
      </c>
      <c r="C30" s="7" t="s">
        <v>93</v>
      </c>
      <c r="D30" s="26">
        <v>187247</v>
      </c>
      <c r="E30" s="26">
        <v>174998</v>
      </c>
      <c r="F30" s="26">
        <f t="shared" si="1"/>
        <v>187000</v>
      </c>
      <c r="G30" s="26">
        <f t="shared" si="2"/>
        <v>16000</v>
      </c>
      <c r="H30" s="26">
        <f t="shared" si="0"/>
        <v>-247</v>
      </c>
      <c r="I30" s="95">
        <f t="shared" si="3"/>
        <v>-1.3191132568212041E-3</v>
      </c>
      <c r="J30" s="25" t="s">
        <v>246</v>
      </c>
    </row>
    <row r="31" spans="1:10">
      <c r="A31" s="20" t="s">
        <v>204</v>
      </c>
      <c r="B31" s="20" t="s">
        <v>220</v>
      </c>
      <c r="C31" s="7" t="s">
        <v>94</v>
      </c>
      <c r="D31" s="26">
        <v>2623664</v>
      </c>
      <c r="E31" s="26">
        <v>2287271.9900000002</v>
      </c>
      <c r="F31" s="26">
        <f t="shared" si="1"/>
        <v>2447000</v>
      </c>
      <c r="G31" s="26">
        <f t="shared" si="2"/>
        <v>204000</v>
      </c>
      <c r="H31" s="26">
        <f t="shared" si="0"/>
        <v>-176664</v>
      </c>
      <c r="I31" s="95">
        <f t="shared" si="3"/>
        <v>-6.7334841656553582E-2</v>
      </c>
      <c r="J31" s="25" t="s">
        <v>250</v>
      </c>
    </row>
    <row r="32" spans="1:10" ht="15.75" thickBot="1">
      <c r="A32" s="20" t="s">
        <v>204</v>
      </c>
      <c r="B32" s="20" t="s">
        <v>221</v>
      </c>
      <c r="C32" s="9" t="s">
        <v>95</v>
      </c>
      <c r="D32" s="35">
        <v>1658324</v>
      </c>
      <c r="E32" s="35">
        <v>505424</v>
      </c>
      <c r="F32" s="35">
        <f t="shared" si="1"/>
        <v>541000</v>
      </c>
      <c r="G32" s="35">
        <f t="shared" si="2"/>
        <v>45000</v>
      </c>
      <c r="H32" s="35">
        <f t="shared" si="0"/>
        <v>-1117324</v>
      </c>
      <c r="I32" s="96">
        <f t="shared" si="3"/>
        <v>-0.67376700813592516</v>
      </c>
      <c r="J32" s="25"/>
    </row>
    <row r="33" spans="3:10" ht="16.5" thickTop="1">
      <c r="C33" s="28" t="s">
        <v>96</v>
      </c>
      <c r="D33" s="32">
        <f>SUM(D7:D32)</f>
        <v>159759345</v>
      </c>
      <c r="E33" s="32">
        <f>SUM(E7:E32)</f>
        <v>162545742.99000001</v>
      </c>
      <c r="F33" s="32">
        <f>SUM(F7:F32)</f>
        <v>173924000</v>
      </c>
      <c r="G33" s="32">
        <f>SUM(G7:G32)</f>
        <v>14496000</v>
      </c>
      <c r="H33" s="32">
        <f>SUM(H7:H32)</f>
        <v>14164655</v>
      </c>
      <c r="I33" s="97">
        <f t="shared" si="3"/>
        <v>8.8662450387487504E-2</v>
      </c>
      <c r="J33" s="32">
        <f>SUM(J8:J32)</f>
        <v>0</v>
      </c>
    </row>
    <row r="34" spans="3:10" s="1" customFormat="1" ht="15.75">
      <c r="C34" s="20"/>
      <c r="D34" s="26"/>
      <c r="E34" s="30"/>
      <c r="F34" s="30"/>
      <c r="G34" s="30"/>
      <c r="H34" s="30"/>
      <c r="I34" s="30"/>
      <c r="J34" s="29"/>
    </row>
    <row r="35" spans="3:10" ht="15.75">
      <c r="C35" s="1"/>
      <c r="D35" s="98"/>
      <c r="E35" s="99"/>
      <c r="F35" s="100"/>
      <c r="G35" s="100"/>
      <c r="H35" s="99"/>
      <c r="I35" s="99"/>
    </row>
    <row r="36" spans="3:10">
      <c r="C36" s="20" t="s">
        <v>247</v>
      </c>
      <c r="D36" s="26">
        <f>+D33</f>
        <v>159759345</v>
      </c>
    </row>
    <row r="37" spans="3:10" ht="15.75" thickBot="1">
      <c r="C37" s="79" t="s">
        <v>242</v>
      </c>
      <c r="D37" s="35">
        <f>+F33</f>
        <v>173924000</v>
      </c>
    </row>
    <row r="38" spans="3:10" ht="16.5" thickTop="1">
      <c r="C38" s="1" t="s">
        <v>197</v>
      </c>
      <c r="D38" s="32">
        <f>+D37-D36</f>
        <v>14164655</v>
      </c>
      <c r="E38" s="101">
        <f>+D38/D36</f>
        <v>8.8662450387487504E-2</v>
      </c>
    </row>
    <row r="39" spans="3:10">
      <c r="D39" s="95"/>
    </row>
    <row r="40" spans="3:10">
      <c r="D40" s="26"/>
    </row>
    <row r="41" spans="3:10">
      <c r="D41" s="26"/>
    </row>
    <row r="42" spans="3:10">
      <c r="D42" s="26"/>
    </row>
    <row r="43" spans="3:10">
      <c r="D43" s="26"/>
    </row>
    <row r="44" spans="3:10">
      <c r="D44" s="26"/>
    </row>
    <row r="45" spans="3:10">
      <c r="D45" s="26"/>
    </row>
    <row r="46" spans="3:10">
      <c r="D46" s="26"/>
    </row>
    <row r="47" spans="3:10">
      <c r="D47" s="36"/>
    </row>
    <row r="48" spans="3:10">
      <c r="D48" s="26"/>
    </row>
    <row r="49" spans="4:4">
      <c r="D49" s="26"/>
    </row>
    <row r="50" spans="4:4">
      <c r="D50" s="26"/>
    </row>
    <row r="51" spans="4:4">
      <c r="D51" s="26"/>
    </row>
    <row r="52" spans="4:4">
      <c r="D52" s="26"/>
    </row>
    <row r="53" spans="4:4">
      <c r="D53" s="26"/>
    </row>
    <row r="54" spans="4:4">
      <c r="D54" s="26"/>
    </row>
    <row r="55" spans="4:4">
      <c r="D55" s="26"/>
    </row>
    <row r="56" spans="4:4">
      <c r="D56" s="26"/>
    </row>
    <row r="57" spans="4:4">
      <c r="D57" s="26"/>
    </row>
    <row r="58" spans="4:4">
      <c r="D58" s="26"/>
    </row>
    <row r="59" spans="4:4">
      <c r="D59" s="26"/>
    </row>
    <row r="60" spans="4:4">
      <c r="D60" s="26"/>
    </row>
    <row r="61" spans="4:4">
      <c r="D61" s="26"/>
    </row>
    <row r="62" spans="4:4">
      <c r="D62" s="26"/>
    </row>
    <row r="63" spans="4:4">
      <c r="D63" s="26"/>
    </row>
    <row r="64" spans="4:4">
      <c r="D64" s="26"/>
    </row>
    <row r="65" spans="4:4">
      <c r="D65" s="26"/>
    </row>
  </sheetData>
  <mergeCells count="10">
    <mergeCell ref="J5:J6"/>
    <mergeCell ref="A1:I1"/>
    <mergeCell ref="A2:I2"/>
    <mergeCell ref="C5:C6"/>
    <mergeCell ref="D5:D6"/>
    <mergeCell ref="E5:E6"/>
    <mergeCell ref="F5:F6"/>
    <mergeCell ref="H5:H6"/>
    <mergeCell ref="I5:I6"/>
    <mergeCell ref="G5:G6"/>
  </mergeCells>
  <pageMargins left="0.47244094488188981" right="0.51181102362204722" top="0.23622047244094491" bottom="0.23622047244094491" header="0" footer="0.23622047244094491"/>
  <pageSetup scale="5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12</vt:i4>
      </vt:variant>
    </vt:vector>
  </HeadingPairs>
  <TitlesOfParts>
    <vt:vector size="20" baseType="lpstr">
      <vt:lpstr>ESF</vt:lpstr>
      <vt:lpstr>EIR</vt:lpstr>
      <vt:lpstr>CARTERA</vt:lpstr>
      <vt:lpstr>CXC-CXP</vt:lpstr>
      <vt:lpstr>Ejecucion</vt:lpstr>
      <vt:lpstr>PPTO 2018</vt:lpstr>
      <vt:lpstr>Auxiliar gtos</vt:lpstr>
      <vt:lpstr>PPTO 2017</vt:lpstr>
      <vt:lpstr>'Auxiliar gtos'!Área_de_impresión</vt:lpstr>
      <vt:lpstr>CARTERA!Área_de_impresión</vt:lpstr>
      <vt:lpstr>'CXC-CXP'!Área_de_impresión</vt:lpstr>
      <vt:lpstr>EIR!Área_de_impresión</vt:lpstr>
      <vt:lpstr>Ejecucion!Área_de_impresión</vt:lpstr>
      <vt:lpstr>ESF!Área_de_impresión</vt:lpstr>
      <vt:lpstr>'PPTO 2017'!Área_de_impresión</vt:lpstr>
      <vt:lpstr>'PPTO 2018'!Área_de_impresión</vt:lpstr>
      <vt:lpstr>'Auxiliar gtos'!Títulos_a_imprimir</vt:lpstr>
      <vt:lpstr>CARTERA!Títulos_a_imprimir</vt:lpstr>
      <vt:lpstr>EIR!Títulos_a_imprimir</vt:lpstr>
      <vt:lpstr>ESF!Títulos_a_imprimir</vt:lpstr>
    </vt:vector>
  </TitlesOfParts>
  <Manager/>
  <Company>TAMPA CARGO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TAMPA CARGO S.A,</dc:creator>
  <cp:keywords/>
  <dc:description/>
  <cp:lastModifiedBy>Personal</cp:lastModifiedBy>
  <cp:revision/>
  <cp:lastPrinted>2018-02-14T22:23:04Z</cp:lastPrinted>
  <dcterms:created xsi:type="dcterms:W3CDTF">2008-06-03T19:51:32Z</dcterms:created>
  <dcterms:modified xsi:type="dcterms:W3CDTF">2018-02-14T22:24:56Z</dcterms:modified>
  <cp:category/>
  <cp:contentStatus/>
</cp:coreProperties>
</file>